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filterPrivacy="1" defaultThemeVersion="124226"/>
  <xr:revisionPtr revIDLastSave="87" documentId="8_{F38F7BB3-AF24-462F-9723-5ACD20A609A4}" xr6:coauthVersionLast="47" xr6:coauthVersionMax="47" xr10:uidLastSave="{5566D56C-932A-42E3-BE50-A63E1C380D19}"/>
  <bookViews>
    <workbookView xWindow="-120" yWindow="-120" windowWidth="29040" windowHeight="15720" xr2:uid="{00000000-000D-0000-FFFF-FFFF00000000}"/>
  </bookViews>
  <sheets>
    <sheet name="leggimi" sheetId="36" r:id="rId1"/>
    <sheet name="Commissioni " sheetId="30" r:id="rId2"/>
    <sheet name="Gr Tassi" sheetId="34" r:id="rId3"/>
    <sheet name="Covenant" sheetId="31" r:id="rId4"/>
    <sheet name="Release" sheetId="2" r:id="rId5"/>
    <sheet name="Bullet" sheetId="21" r:id="rId6"/>
    <sheet name="Bullet cap" sheetId="35" r:id="rId7"/>
    <sheet name="Baloon" sheetId="20" r:id="rId8"/>
    <sheet name="Rata Francese" sheetId="23" r:id="rId9"/>
    <sheet name="Rata Italiana" sheetId="25" r:id="rId10"/>
  </sheets>
  <externalReferences>
    <externalReference r:id="rId11"/>
    <externalReference r:id="rId12"/>
    <externalReference r:id="rId13"/>
  </externalReferences>
  <definedNames>
    <definedName name="lingua">[1]l!$C$5</definedName>
    <definedName name="rf" localSheetId="9">'[2]1'!#REF!</definedName>
    <definedName name="rf">'[2]1'!#REF!</definedName>
    <definedName name="rprob">[3]vlookup!$A$4:$B$57</definedName>
    <definedName name="vlrtrpct">#REF!</definedName>
    <definedName name="vlrtrpct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35" l="1"/>
  <c r="G8" i="35"/>
  <c r="F8" i="35"/>
  <c r="E8" i="35"/>
  <c r="D8" i="35"/>
  <c r="H7" i="35"/>
  <c r="D3" i="35"/>
  <c r="B29" i="34"/>
  <c r="C29" i="34" s="1"/>
  <c r="D29" i="34" s="1"/>
  <c r="B28" i="34"/>
  <c r="C28" i="34" s="1"/>
  <c r="D28" i="34" s="1"/>
  <c r="B27" i="34"/>
  <c r="C27" i="34" s="1"/>
  <c r="D27" i="34" s="1"/>
  <c r="B26" i="34"/>
  <c r="C26" i="34" s="1"/>
  <c r="D26" i="34" s="1"/>
  <c r="B25" i="34"/>
  <c r="C25" i="34" s="1"/>
  <c r="D25" i="34" s="1"/>
  <c r="B24" i="34"/>
  <c r="C24" i="34" s="1"/>
  <c r="D24" i="34" s="1"/>
  <c r="B23" i="34"/>
  <c r="C23" i="34" s="1"/>
  <c r="D23" i="34" s="1"/>
  <c r="B22" i="34"/>
  <c r="C22" i="34" s="1"/>
  <c r="D22" i="34" s="1"/>
  <c r="H15" i="30"/>
  <c r="G15" i="30"/>
  <c r="F15" i="30"/>
  <c r="E15" i="30"/>
  <c r="D15" i="30"/>
  <c r="C16" i="30"/>
  <c r="G16" i="31"/>
  <c r="G15" i="31"/>
  <c r="G14" i="31"/>
  <c r="G13" i="31"/>
  <c r="G12" i="31"/>
  <c r="G11" i="31"/>
  <c r="G10" i="31"/>
  <c r="G8" i="31"/>
  <c r="G7" i="31"/>
  <c r="G6" i="31"/>
  <c r="G5" i="31"/>
  <c r="G3" i="31"/>
  <c r="G2" i="31"/>
  <c r="G1" i="31"/>
  <c r="H6" i="31"/>
  <c r="H8" i="31" s="1"/>
  <c r="I3" i="31"/>
  <c r="J3" i="31" s="1"/>
  <c r="K3" i="31" s="1"/>
  <c r="L3" i="31" s="1"/>
  <c r="M3" i="31" s="1"/>
  <c r="N3" i="31" s="1"/>
  <c r="O3" i="31" s="1"/>
  <c r="P3" i="31" s="1"/>
  <c r="Q3" i="31" s="1"/>
  <c r="R3" i="31" s="1"/>
  <c r="S3" i="31" s="1"/>
  <c r="T3" i="31" s="1"/>
  <c r="U3" i="31" s="1"/>
  <c r="V3" i="31" s="1"/>
  <c r="W3" i="31" s="1"/>
  <c r="X3" i="31" s="1"/>
  <c r="Y3" i="31" s="1"/>
  <c r="Z3" i="31" s="1"/>
  <c r="AA3" i="31" s="1"/>
  <c r="AB3" i="31" s="1"/>
  <c r="AC3" i="31" s="1"/>
  <c r="AD3" i="31" s="1"/>
  <c r="AE3" i="31" s="1"/>
  <c r="AF3" i="31" s="1"/>
  <c r="AG3" i="31" s="1"/>
  <c r="I2" i="31"/>
  <c r="J2" i="31" s="1"/>
  <c r="K2" i="31" s="1"/>
  <c r="L2" i="31" s="1"/>
  <c r="M2" i="31" s="1"/>
  <c r="N2" i="31" s="1"/>
  <c r="O2" i="31" s="1"/>
  <c r="P2" i="31" s="1"/>
  <c r="Q2" i="31" s="1"/>
  <c r="R2" i="31" s="1"/>
  <c r="S2" i="31" s="1"/>
  <c r="T2" i="31" s="1"/>
  <c r="U2" i="31" s="1"/>
  <c r="V2" i="31" s="1"/>
  <c r="W2" i="31" s="1"/>
  <c r="X2" i="31" s="1"/>
  <c r="Y2" i="31" s="1"/>
  <c r="Z2" i="31" s="1"/>
  <c r="AA2" i="31" s="1"/>
  <c r="AB2" i="31" s="1"/>
  <c r="AC2" i="31" s="1"/>
  <c r="AD2" i="31" s="1"/>
  <c r="AE2" i="31" s="1"/>
  <c r="AF2" i="31" s="1"/>
  <c r="AG2" i="31" s="1"/>
  <c r="I1" i="31"/>
  <c r="C17" i="30"/>
  <c r="C13" i="30"/>
  <c r="C19" i="30" s="1"/>
  <c r="C11" i="30"/>
  <c r="C8" i="30"/>
  <c r="D7" i="30"/>
  <c r="D17" i="30" s="1"/>
  <c r="H16" i="31" l="1"/>
  <c r="I5" i="31"/>
  <c r="H10" i="31"/>
  <c r="D8" i="30"/>
  <c r="D14" i="30" s="1"/>
  <c r="D19" i="30" s="1"/>
  <c r="D11" i="30"/>
  <c r="E7" i="30" s="1"/>
  <c r="I7" i="31"/>
  <c r="J1" i="31"/>
  <c r="I8" i="31" l="1"/>
  <c r="I10" i="31" s="1"/>
  <c r="J7" i="31"/>
  <c r="K1" i="31"/>
  <c r="E17" i="30"/>
  <c r="E11" i="30"/>
  <c r="F7" i="30" s="1"/>
  <c r="E8" i="30"/>
  <c r="E14" i="30" s="1"/>
  <c r="E19" i="30" s="1"/>
  <c r="D3" i="23"/>
  <c r="D11" i="21"/>
  <c r="D10" i="21"/>
  <c r="D9" i="21"/>
  <c r="D8" i="21"/>
  <c r="D7" i="21"/>
  <c r="D6" i="21"/>
  <c r="D5" i="21"/>
  <c r="D4" i="21"/>
  <c r="D11" i="23"/>
  <c r="D10" i="23"/>
  <c r="D9" i="23"/>
  <c r="D8" i="23"/>
  <c r="D7" i="23"/>
  <c r="D6" i="23"/>
  <c r="D5" i="23"/>
  <c r="D4" i="23"/>
  <c r="D11" i="25"/>
  <c r="D10" i="25"/>
  <c r="D9" i="25"/>
  <c r="D8" i="25"/>
  <c r="D7" i="25"/>
  <c r="D6" i="25"/>
  <c r="D5" i="25"/>
  <c r="D4" i="25"/>
  <c r="D11" i="20"/>
  <c r="D10" i="20"/>
  <c r="D9" i="20"/>
  <c r="D8" i="20"/>
  <c r="D7" i="20"/>
  <c r="D6" i="20"/>
  <c r="D5" i="20"/>
  <c r="D4" i="20"/>
  <c r="D3" i="21"/>
  <c r="D3" i="25"/>
  <c r="D3" i="20"/>
  <c r="E10" i="25"/>
  <c r="F4" i="25" s="1"/>
  <c r="J8" i="25"/>
  <c r="I8" i="25"/>
  <c r="H8" i="25"/>
  <c r="G8" i="25"/>
  <c r="F8" i="25"/>
  <c r="E10" i="23"/>
  <c r="F4" i="23" s="1"/>
  <c r="E10" i="21"/>
  <c r="F4" i="21" s="1"/>
  <c r="E10" i="20"/>
  <c r="F4" i="20" s="1"/>
  <c r="I8" i="20"/>
  <c r="H8" i="20"/>
  <c r="G8" i="20"/>
  <c r="F8" i="20"/>
  <c r="J8" i="20" s="1"/>
  <c r="J5" i="31" l="1"/>
  <c r="F10" i="21"/>
  <c r="G4" i="21" s="1"/>
  <c r="G10" i="21" s="1"/>
  <c r="H4" i="21" s="1"/>
  <c r="F6" i="21"/>
  <c r="F7" i="21" s="1"/>
  <c r="F9" i="21" s="1"/>
  <c r="F10" i="25"/>
  <c r="G4" i="25" s="1"/>
  <c r="I11" i="31"/>
  <c r="I12" i="31"/>
  <c r="I13" i="31" s="1"/>
  <c r="J12" i="31"/>
  <c r="J13" i="31" s="1"/>
  <c r="J8" i="31"/>
  <c r="K5" i="31" s="1"/>
  <c r="F17" i="30"/>
  <c r="F11" i="30"/>
  <c r="G7" i="30" s="1"/>
  <c r="F8" i="30"/>
  <c r="F14" i="30" s="1"/>
  <c r="K7" i="31"/>
  <c r="L1" i="31"/>
  <c r="G6" i="25"/>
  <c r="G7" i="25" s="1"/>
  <c r="G10" i="25"/>
  <c r="H4" i="25" s="1"/>
  <c r="G9" i="25"/>
  <c r="F6" i="25"/>
  <c r="F7" i="25" s="1"/>
  <c r="F9" i="25" s="1"/>
  <c r="H10" i="21"/>
  <c r="I4" i="21" s="1"/>
  <c r="H6" i="21"/>
  <c r="H7" i="21" s="1"/>
  <c r="H9" i="21" s="1"/>
  <c r="F6" i="20"/>
  <c r="F7" i="20" s="1"/>
  <c r="F9" i="20" s="1"/>
  <c r="G6" i="21"/>
  <c r="G7" i="21" s="1"/>
  <c r="G9" i="21" s="1"/>
  <c r="F6" i="23"/>
  <c r="F7" i="23" s="1"/>
  <c r="F8" i="23"/>
  <c r="H8" i="23"/>
  <c r="J8" i="23"/>
  <c r="G8" i="23"/>
  <c r="I8" i="23"/>
  <c r="F19" i="30" l="1"/>
  <c r="F9" i="23"/>
  <c r="J14" i="31"/>
  <c r="J15" i="31"/>
  <c r="J10" i="31"/>
  <c r="J11" i="31" s="1"/>
  <c r="J16" i="31"/>
  <c r="G17" i="30"/>
  <c r="G11" i="30"/>
  <c r="H7" i="30" s="1"/>
  <c r="G8" i="30"/>
  <c r="G14" i="30" s="1"/>
  <c r="G19" i="30" s="1"/>
  <c r="M1" i="31"/>
  <c r="L7" i="31"/>
  <c r="K8" i="31"/>
  <c r="L5" i="31" s="1"/>
  <c r="K12" i="31"/>
  <c r="K13" i="31"/>
  <c r="I16" i="31"/>
  <c r="I15" i="31"/>
  <c r="I14" i="31"/>
  <c r="H10" i="25"/>
  <c r="I4" i="25" s="1"/>
  <c r="H6" i="25"/>
  <c r="H7" i="25" s="1"/>
  <c r="H9" i="25" s="1"/>
  <c r="F10" i="23"/>
  <c r="G4" i="23" s="1"/>
  <c r="F10" i="20"/>
  <c r="G4" i="20" s="1"/>
  <c r="I10" i="21"/>
  <c r="J4" i="21" s="1"/>
  <c r="I6" i="21"/>
  <c r="I7" i="21" s="1"/>
  <c r="I9" i="21" s="1"/>
  <c r="K16" i="31" l="1"/>
  <c r="K15" i="31"/>
  <c r="K14" i="31"/>
  <c r="K10" i="31"/>
  <c r="K11" i="31" s="1"/>
  <c r="M7" i="31"/>
  <c r="N1" i="31"/>
  <c r="H17" i="30"/>
  <c r="H11" i="30"/>
  <c r="H8" i="30"/>
  <c r="H14" i="30" s="1"/>
  <c r="L12" i="31"/>
  <c r="L13" i="31" s="1"/>
  <c r="L8" i="31"/>
  <c r="M5" i="31" s="1"/>
  <c r="I6" i="25"/>
  <c r="I7" i="25" s="1"/>
  <c r="I9" i="25" s="1"/>
  <c r="I10" i="25"/>
  <c r="J4" i="25" s="1"/>
  <c r="G6" i="20"/>
  <c r="G7" i="20" s="1"/>
  <c r="G9" i="20" s="1"/>
  <c r="J8" i="21"/>
  <c r="J6" i="21"/>
  <c r="J7" i="21" s="1"/>
  <c r="G6" i="23"/>
  <c r="G7" i="23" s="1"/>
  <c r="G9" i="23" s="1"/>
  <c r="G10" i="23"/>
  <c r="H4" i="23" s="1"/>
  <c r="H19" i="30" l="1"/>
  <c r="C20" i="30" s="1"/>
  <c r="J9" i="21"/>
  <c r="L14" i="31"/>
  <c r="L16" i="31"/>
  <c r="L15" i="31"/>
  <c r="L10" i="31"/>
  <c r="L11" i="31" s="1"/>
  <c r="M12" i="31"/>
  <c r="M13" i="31" s="1"/>
  <c r="M8" i="31"/>
  <c r="N5" i="31" s="1"/>
  <c r="N7" i="31"/>
  <c r="O1" i="31"/>
  <c r="J10" i="25"/>
  <c r="J6" i="25"/>
  <c r="J7" i="25" s="1"/>
  <c r="J9" i="25" s="1"/>
  <c r="H10" i="23"/>
  <c r="I4" i="23" s="1"/>
  <c r="H6" i="23"/>
  <c r="H7" i="23" s="1"/>
  <c r="H9" i="23" s="1"/>
  <c r="J10" i="21"/>
  <c r="G10" i="20"/>
  <c r="H4" i="20" s="1"/>
  <c r="M16" i="31" l="1"/>
  <c r="M15" i="31"/>
  <c r="M10" i="31"/>
  <c r="M11" i="31" s="1"/>
  <c r="M14" i="31"/>
  <c r="N12" i="31"/>
  <c r="N13" i="31" s="1"/>
  <c r="N8" i="31"/>
  <c r="O5" i="31" s="1"/>
  <c r="O7" i="31"/>
  <c r="P1" i="31"/>
  <c r="I6" i="23"/>
  <c r="I7" i="23" s="1"/>
  <c r="I9" i="23" s="1"/>
  <c r="I10" i="23"/>
  <c r="J4" i="23" s="1"/>
  <c r="H6" i="20"/>
  <c r="H7" i="20" s="1"/>
  <c r="H9" i="20" s="1"/>
  <c r="H10" i="20" l="1"/>
  <c r="I4" i="20" s="1"/>
  <c r="Q1" i="31"/>
  <c r="P7" i="31"/>
  <c r="O8" i="31"/>
  <c r="P5" i="31" s="1"/>
  <c r="O12" i="31"/>
  <c r="O13" i="31" s="1"/>
  <c r="N14" i="31"/>
  <c r="N15" i="31"/>
  <c r="N16" i="31"/>
  <c r="N10" i="31"/>
  <c r="N11" i="31" s="1"/>
  <c r="I6" i="20"/>
  <c r="I7" i="20" s="1"/>
  <c r="I9" i="20" s="1"/>
  <c r="J10" i="23"/>
  <c r="J6" i="23"/>
  <c r="J7" i="23" s="1"/>
  <c r="J9" i="23" s="1"/>
  <c r="I10" i="20" l="1"/>
  <c r="J4" i="20" s="1"/>
  <c r="O16" i="31"/>
  <c r="O15" i="31"/>
  <c r="O14" i="31"/>
  <c r="O10" i="31"/>
  <c r="O11" i="31" s="1"/>
  <c r="Q7" i="31"/>
  <c r="R1" i="31"/>
  <c r="P12" i="31"/>
  <c r="P13" i="31" s="1"/>
  <c r="P8" i="31"/>
  <c r="Q5" i="31" s="1"/>
  <c r="J6" i="20"/>
  <c r="J7" i="20" s="1"/>
  <c r="J9" i="20" s="1"/>
  <c r="J10" i="20" l="1"/>
  <c r="P14" i="31"/>
  <c r="P10" i="31"/>
  <c r="P11" i="31" s="1"/>
  <c r="P16" i="31"/>
  <c r="P15" i="31"/>
  <c r="R7" i="31"/>
  <c r="S1" i="31"/>
  <c r="Q12" i="31"/>
  <c r="Q8" i="31"/>
  <c r="R5" i="31" s="1"/>
  <c r="Q13" i="31"/>
  <c r="D17" i="2"/>
  <c r="D16" i="2"/>
  <c r="D15" i="2"/>
  <c r="D14" i="2"/>
  <c r="D13" i="2"/>
  <c r="D12" i="2"/>
  <c r="D11" i="2"/>
  <c r="D10" i="2"/>
  <c r="D8" i="2"/>
  <c r="D7" i="2"/>
  <c r="D6" i="2"/>
  <c r="D5" i="2"/>
  <c r="D4" i="2"/>
  <c r="D3" i="2"/>
  <c r="D2" i="2"/>
  <c r="D1" i="2"/>
  <c r="F10" i="2"/>
  <c r="G10" i="2" s="1"/>
  <c r="E3" i="2"/>
  <c r="E16" i="2" s="1"/>
  <c r="E5" i="2"/>
  <c r="E13" i="2" s="1"/>
  <c r="E15" i="2" s="1"/>
  <c r="F12" i="2"/>
  <c r="E6" i="2"/>
  <c r="E8" i="2" s="1"/>
  <c r="F16" i="2" l="1"/>
  <c r="G11" i="2" s="1"/>
  <c r="F11" i="2"/>
  <c r="H10" i="2"/>
  <c r="I10" i="2" s="1"/>
  <c r="G12" i="2"/>
  <c r="E11" i="2"/>
  <c r="J10" i="2"/>
  <c r="I12" i="2"/>
  <c r="F13" i="2"/>
  <c r="E17" i="2"/>
  <c r="G16" i="2"/>
  <c r="R12" i="31"/>
  <c r="R13" i="31" s="1"/>
  <c r="R8" i="31"/>
  <c r="S5" i="31" s="1"/>
  <c r="S7" i="31"/>
  <c r="T1" i="31"/>
  <c r="Q16" i="31"/>
  <c r="Q15" i="31"/>
  <c r="Q14" i="31"/>
  <c r="Q10" i="31"/>
  <c r="Q11" i="31" s="1"/>
  <c r="H12" i="2" l="1"/>
  <c r="H16" i="2" s="1"/>
  <c r="K10" i="2"/>
  <c r="J12" i="2"/>
  <c r="F14" i="2"/>
  <c r="F15" i="2" s="1"/>
  <c r="H11" i="2"/>
  <c r="U1" i="31"/>
  <c r="T7" i="31"/>
  <c r="S8" i="31"/>
  <c r="T5" i="31" s="1"/>
  <c r="S12" i="31"/>
  <c r="S13" i="31" s="1"/>
  <c r="R14" i="31"/>
  <c r="R10" i="31"/>
  <c r="R11" i="31" s="1"/>
  <c r="R15" i="31"/>
  <c r="R16" i="31"/>
  <c r="K12" i="2" l="1"/>
  <c r="M10" i="2"/>
  <c r="G13" i="2"/>
  <c r="F17" i="2"/>
  <c r="I16" i="2"/>
  <c r="I11" i="2"/>
  <c r="S16" i="31"/>
  <c r="S15" i="31"/>
  <c r="S14" i="31"/>
  <c r="S10" i="31"/>
  <c r="S11" i="31" s="1"/>
  <c r="T12" i="31"/>
  <c r="T13" i="31" s="1"/>
  <c r="T8" i="31"/>
  <c r="U5" i="31" s="1"/>
  <c r="U7" i="31"/>
  <c r="V1" i="31"/>
  <c r="M12" i="2" l="1"/>
  <c r="N10" i="2"/>
  <c r="J11" i="2"/>
  <c r="J16" i="2"/>
  <c r="G14" i="2"/>
  <c r="G15" i="2" s="1"/>
  <c r="V7" i="31"/>
  <c r="W1" i="31"/>
  <c r="U12" i="31"/>
  <c r="U13" i="31" s="1"/>
  <c r="U8" i="31"/>
  <c r="V5" i="31" s="1"/>
  <c r="T14" i="31"/>
  <c r="T10" i="31"/>
  <c r="T11" i="31" s="1"/>
  <c r="T16" i="31"/>
  <c r="T15" i="31"/>
  <c r="N12" i="2" l="1"/>
  <c r="O10" i="2"/>
  <c r="H13" i="2"/>
  <c r="G17" i="2"/>
  <c r="K11" i="2"/>
  <c r="K16" i="2"/>
  <c r="V12" i="31"/>
  <c r="V13" i="31" s="1"/>
  <c r="V8" i="31"/>
  <c r="W5" i="31" s="1"/>
  <c r="W7" i="31"/>
  <c r="X1" i="31"/>
  <c r="U16" i="31"/>
  <c r="U15" i="31"/>
  <c r="U10" i="31"/>
  <c r="U11" i="31" s="1"/>
  <c r="U14" i="31"/>
  <c r="P10" i="2" l="1"/>
  <c r="P12" i="2" s="1"/>
  <c r="O12" i="2"/>
  <c r="M11" i="2"/>
  <c r="M16" i="2"/>
  <c r="H14" i="2"/>
  <c r="H15" i="2" s="1"/>
  <c r="Y1" i="31"/>
  <c r="X7" i="31"/>
  <c r="W8" i="31"/>
  <c r="X5" i="31" s="1"/>
  <c r="W12" i="31"/>
  <c r="W13" i="31" s="1"/>
  <c r="V14" i="31"/>
  <c r="V10" i="31"/>
  <c r="V11" i="31" s="1"/>
  <c r="V15" i="31"/>
  <c r="V16" i="31"/>
  <c r="N11" i="2" l="1"/>
  <c r="N16" i="2"/>
  <c r="I13" i="2"/>
  <c r="H17" i="2"/>
  <c r="W16" i="31"/>
  <c r="W15" i="31"/>
  <c r="W14" i="31"/>
  <c r="W10" i="31"/>
  <c r="W11" i="31" s="1"/>
  <c r="X12" i="31"/>
  <c r="X13" i="31" s="1"/>
  <c r="X8" i="31"/>
  <c r="Y5" i="31" s="1"/>
  <c r="Y7" i="31"/>
  <c r="Z1" i="31"/>
  <c r="I14" i="2" l="1"/>
  <c r="I15" i="2" s="1"/>
  <c r="O11" i="2"/>
  <c r="O16" i="2"/>
  <c r="X14" i="31"/>
  <c r="X10" i="31"/>
  <c r="X11" i="31" s="1"/>
  <c r="X16" i="31"/>
  <c r="X15" i="31"/>
  <c r="Z7" i="31"/>
  <c r="AA1" i="31"/>
  <c r="Y12" i="31"/>
  <c r="Y13" i="31" s="1"/>
  <c r="Y8" i="31"/>
  <c r="Z5" i="31" s="1"/>
  <c r="I17" i="2" l="1"/>
  <c r="J13" i="2"/>
  <c r="P11" i="2"/>
  <c r="P16" i="2"/>
  <c r="Y16" i="31"/>
  <c r="Y15" i="31"/>
  <c r="Y14" i="31"/>
  <c r="Y10" i="31"/>
  <c r="Y11" i="31" s="1"/>
  <c r="Z12" i="31"/>
  <c r="Z13" i="31" s="1"/>
  <c r="Z8" i="31"/>
  <c r="AA5" i="31" s="1"/>
  <c r="AA7" i="31"/>
  <c r="AB1" i="31"/>
  <c r="J14" i="2" l="1"/>
  <c r="J15" i="2" s="1"/>
  <c r="AA8" i="31"/>
  <c r="AB5" i="31" s="1"/>
  <c r="AA12" i="31"/>
  <c r="AA13" i="31" s="1"/>
  <c r="AC1" i="31"/>
  <c r="AB7" i="31"/>
  <c r="Z14" i="31"/>
  <c r="Z10" i="31"/>
  <c r="Z11" i="31" s="1"/>
  <c r="Z15" i="31"/>
  <c r="Z16" i="31"/>
  <c r="K13" i="2" l="1"/>
  <c r="J17" i="2"/>
  <c r="AC7" i="31"/>
  <c r="AD1" i="31"/>
  <c r="AA16" i="31"/>
  <c r="AA15" i="31"/>
  <c r="AA14" i="31"/>
  <c r="AA10" i="31"/>
  <c r="AA11" i="31" s="1"/>
  <c r="AB12" i="31"/>
  <c r="AB13" i="31" s="1"/>
  <c r="AB8" i="31"/>
  <c r="AC5" i="31" s="1"/>
  <c r="K14" i="2" l="1"/>
  <c r="K15" i="2" s="1"/>
  <c r="AB14" i="31"/>
  <c r="AB10" i="31"/>
  <c r="AB11" i="31" s="1"/>
  <c r="AB16" i="31"/>
  <c r="AB15" i="31"/>
  <c r="AC12" i="31"/>
  <c r="AC8" i="31"/>
  <c r="AD5" i="31" s="1"/>
  <c r="AC13" i="31"/>
  <c r="AD7" i="31"/>
  <c r="AE1" i="31"/>
  <c r="K17" i="2" l="1"/>
  <c r="M13" i="2"/>
  <c r="AD12" i="31"/>
  <c r="AD13" i="31" s="1"/>
  <c r="AD8" i="31"/>
  <c r="AE5" i="31" s="1"/>
  <c r="AE7" i="31"/>
  <c r="AF1" i="31"/>
  <c r="AC16" i="31"/>
  <c r="AC15" i="31"/>
  <c r="AC10" i="31"/>
  <c r="AC11" i="31" s="1"/>
  <c r="AC14" i="31"/>
  <c r="M14" i="2" l="1"/>
  <c r="M15" i="2" s="1"/>
  <c r="AG1" i="31"/>
  <c r="AG7" i="31" s="1"/>
  <c r="AF7" i="31"/>
  <c r="AE8" i="31"/>
  <c r="AF5" i="31" s="1"/>
  <c r="AE12" i="31"/>
  <c r="AE13" i="31" s="1"/>
  <c r="AD14" i="31"/>
  <c r="AD10" i="31"/>
  <c r="AD11" i="31" s="1"/>
  <c r="AD15" i="31"/>
  <c r="AD16" i="31"/>
  <c r="M17" i="2" l="1"/>
  <c r="N13" i="2"/>
  <c r="AE16" i="31"/>
  <c r="AE15" i="31"/>
  <c r="AE14" i="31"/>
  <c r="AE10" i="31"/>
  <c r="AE11" i="31" s="1"/>
  <c r="AF12" i="31"/>
  <c r="AF13" i="31" s="1"/>
  <c r="AF8" i="31"/>
  <c r="AG5" i="31" s="1"/>
  <c r="N14" i="2" l="1"/>
  <c r="N15" i="2" s="1"/>
  <c r="AF14" i="31"/>
  <c r="AF10" i="31"/>
  <c r="AF11" i="31" s="1"/>
  <c r="AF16" i="31"/>
  <c r="AF15" i="31"/>
  <c r="AG12" i="31"/>
  <c r="AG13" i="31" s="1"/>
  <c r="AG8" i="31"/>
  <c r="N17" i="2" l="1"/>
  <c r="O13" i="2"/>
  <c r="AG15" i="31"/>
  <c r="AG14" i="31"/>
  <c r="AG10" i="31"/>
  <c r="AG11" i="31" s="1"/>
  <c r="O14" i="2" l="1"/>
  <c r="O15" i="2" s="1"/>
  <c r="P13" i="2" l="1"/>
  <c r="O17" i="2"/>
  <c r="P14" i="2" l="1"/>
  <c r="P15" i="2" s="1"/>
  <c r="P17" i="2" s="1"/>
  <c r="H5" i="35" l="1"/>
  <c r="G9" i="35"/>
  <c r="H3" i="35"/>
  <c r="H9" i="35"/>
  <c r="H8" i="35"/>
  <c r="H6" i="35"/>
  <c r="F9" i="35"/>
  <c r="G3" i="35"/>
  <c r="G5" i="35"/>
  <c r="E9" i="35"/>
  <c r="F3" i="35"/>
  <c r="F5" i="35"/>
  <c r="D5" i="35"/>
  <c r="D9" i="35"/>
  <c r="E3" i="35"/>
  <c r="E5" i="35"/>
</calcChain>
</file>

<file path=xl/sharedStrings.xml><?xml version="1.0" encoding="utf-8"?>
<sst xmlns="http://schemas.openxmlformats.org/spreadsheetml/2006/main" count="197" uniqueCount="119">
  <si>
    <t>Debito Iniziale</t>
  </si>
  <si>
    <t>Erogazione</t>
  </si>
  <si>
    <t>Rimborso Capitale</t>
  </si>
  <si>
    <t>Debito Finale</t>
  </si>
  <si>
    <t>Oneri Finanziari maturati</t>
  </si>
  <si>
    <t>Oneri Finanziari pagati</t>
  </si>
  <si>
    <t>Numero Immobili</t>
  </si>
  <si>
    <t>Valore Unitario</t>
  </si>
  <si>
    <t>Valore del Portafoglio</t>
  </si>
  <si>
    <t>Finanziamento del Portafoglio</t>
  </si>
  <si>
    <t>LTV</t>
  </si>
  <si>
    <t>ALA singolo immobile</t>
  </si>
  <si>
    <t>Release factor</t>
  </si>
  <si>
    <t>Release factor %</t>
  </si>
  <si>
    <t>Sequenza Vendita</t>
  </si>
  <si>
    <t>Rimborso</t>
  </si>
  <si>
    <t>Vendita</t>
  </si>
  <si>
    <t>Valore Portafoglio Finale</t>
  </si>
  <si>
    <t>Valore Portafoglio Iniziale</t>
  </si>
  <si>
    <t>Euribor</t>
  </si>
  <si>
    <t>Oneri finanziari</t>
  </si>
  <si>
    <t>Fin. Non utilizzato</t>
  </si>
  <si>
    <t>Periodo</t>
  </si>
  <si>
    <t>Flusso Finale</t>
  </si>
  <si>
    <t>Costo Complessivo</t>
  </si>
  <si>
    <t>a</t>
  </si>
  <si>
    <t>b</t>
  </si>
  <si>
    <t>c</t>
  </si>
  <si>
    <t>d</t>
  </si>
  <si>
    <t>e</t>
  </si>
  <si>
    <t>Servizio Debito (Rata)</t>
  </si>
  <si>
    <t>Intero pagamento degli interessi e rimborso del 100% del capitale al termine del finanziamento.</t>
  </si>
  <si>
    <t>Arrangement fee</t>
  </si>
  <si>
    <t>Commitment fee</t>
  </si>
  <si>
    <t>Initial Debt</t>
  </si>
  <si>
    <t>Drawdown</t>
  </si>
  <si>
    <t>Final Debt</t>
  </si>
  <si>
    <t>Property sold</t>
  </si>
  <si>
    <t>Portfolio value (start)</t>
  </si>
  <si>
    <t>Portfolio value (end)</t>
  </si>
  <si>
    <t>Sale</t>
  </si>
  <si>
    <t>Interest rate</t>
  </si>
  <si>
    <t>Period</t>
  </si>
  <si>
    <t>BALOON</t>
  </si>
  <si>
    <t>Servizio debito (Rata)</t>
  </si>
  <si>
    <t>BULLET</t>
  </si>
  <si>
    <t>Interest accrued</t>
  </si>
  <si>
    <t>Interest paid</t>
  </si>
  <si>
    <t>French amortization</t>
  </si>
  <si>
    <t>Italian amortization</t>
  </si>
  <si>
    <t>Valore di Mercato</t>
  </si>
  <si>
    <t>Flusso Immobiliare</t>
  </si>
  <si>
    <t>c/a</t>
  </si>
  <si>
    <t>LTVR</t>
  </si>
  <si>
    <t>Tasso Applicato</t>
  </si>
  <si>
    <t>Oneri Finanziari</t>
  </si>
  <si>
    <t>Servizio debito</t>
  </si>
  <si>
    <t>d/b</t>
  </si>
  <si>
    <t>ICR</t>
  </si>
  <si>
    <t>e/b</t>
  </si>
  <si>
    <t>DSCR</t>
  </si>
  <si>
    <t>b/c</t>
  </si>
  <si>
    <t>Market Value</t>
  </si>
  <si>
    <t>Real estate CF</t>
  </si>
  <si>
    <t>Debt service (installment)</t>
  </si>
  <si>
    <t>Interest service (installment)</t>
  </si>
  <si>
    <t>Capital reimbursement</t>
  </si>
  <si>
    <t>Interest payment every period and reimbursement of 50% of the capital during the inital 4 periods, the remaining at the end</t>
  </si>
  <si>
    <t>Interest payment every period and reimbursement of the capital at the end</t>
  </si>
  <si>
    <t>Interest payment every period and reimbursement of capital with fixed installment</t>
  </si>
  <si>
    <t xml:space="preserve">Interest payment every period and reimbursement of capital with fixed amount per period </t>
  </si>
  <si>
    <t>Reimbursement</t>
  </si>
  <si>
    <t>Baloon</t>
  </si>
  <si>
    <t>Bullet</t>
  </si>
  <si>
    <t>Rata Francese</t>
  </si>
  <si>
    <t>Rata Italiana</t>
  </si>
  <si>
    <t>Bullet con capitalizzazione degli interessi</t>
  </si>
  <si>
    <r>
      <t>Yield on Debt</t>
    </r>
    <r>
      <rPr>
        <sz val="11"/>
        <color rgb="FF0070C0"/>
        <rFont val="Times New Roman"/>
        <family val="1"/>
      </rPr>
      <t xml:space="preserve"> </t>
    </r>
  </si>
  <si>
    <r>
      <t>Rimborso (</t>
    </r>
    <r>
      <rPr>
        <i/>
        <sz val="11"/>
        <color rgb="FF0070C0"/>
        <rFont val="Times New Roman"/>
        <family val="1"/>
      </rPr>
      <t>release price</t>
    </r>
    <r>
      <rPr>
        <sz val="11"/>
        <color rgb="FF0070C0"/>
        <rFont val="Times New Roman"/>
        <family val="1"/>
      </rPr>
      <t>)</t>
    </r>
  </si>
  <si>
    <t>EURIRS</t>
  </si>
  <si>
    <t xml:space="preserve">Anno </t>
  </si>
  <si>
    <t>Tasso EURIRS</t>
  </si>
  <si>
    <t xml:space="preserve">1 anno </t>
  </si>
  <si>
    <t xml:space="preserve">2 anni </t>
  </si>
  <si>
    <t xml:space="preserve">3 anni </t>
  </si>
  <si>
    <t xml:space="preserve">5 anni </t>
  </si>
  <si>
    <t xml:space="preserve">7 anni </t>
  </si>
  <si>
    <t xml:space="preserve">10 anni </t>
  </si>
  <si>
    <t xml:space="preserve">12 anni </t>
  </si>
  <si>
    <t xml:space="preserve">15 anni </t>
  </si>
  <si>
    <t xml:space="preserve">20 anni </t>
  </si>
  <si>
    <t xml:space="preserve">25 anni </t>
  </si>
  <si>
    <t xml:space="preserve">30 anni </t>
  </si>
  <si>
    <t>1 mese</t>
  </si>
  <si>
    <t xml:space="preserve">3 mesi </t>
  </si>
  <si>
    <t xml:space="preserve">6 mesi </t>
  </si>
  <si>
    <t xml:space="preserve">9 mesi </t>
  </si>
  <si>
    <t>Syndication Fee</t>
  </si>
  <si>
    <t>Banca Agente</t>
  </si>
  <si>
    <t>Tasso Interesse</t>
  </si>
  <si>
    <t>Importo finanziato</t>
  </si>
  <si>
    <t>Finanziamento Iniziale</t>
  </si>
  <si>
    <t>Debt Iniziale</t>
  </si>
  <si>
    <t>Finanziamento Finale</t>
  </si>
  <si>
    <t>Debt Finale</t>
  </si>
  <si>
    <t>Debt reimbursement (release price)</t>
  </si>
  <si>
    <t>Pagamento periodico degli interessi e rimborso di metà del capitale in 4 periodi, con saldo al termine del finanziamento.</t>
  </si>
  <si>
    <t>Pagamento periodico degli interessi e rimborso del 100% del capitale al termine del finanziamento.</t>
  </si>
  <si>
    <t>Pagamento periodico degli interessi e rimborso del capitale con rata costante durante l'intera vita del finanziamento.</t>
  </si>
  <si>
    <t>Pagamento periodico degli interessi e rimborso del capitale in quote costanti durante l'intera vita del finanziamento.</t>
  </si>
  <si>
    <t>Foglio elettronico con tabelle tratte dal libro</t>
  </si>
  <si>
    <t>Strumenti e Tecniche di Finanziamento Immobiliare</t>
  </si>
  <si>
    <t>Giacomo Morri, Antonio Mazza - EGEA 2024</t>
  </si>
  <si>
    <t>Per ulteriore materiale didattico, link e bibliografia:</t>
  </si>
  <si>
    <t xml:space="preserve">www.propertyfinance.it </t>
  </si>
  <si>
    <t>Da utilizzare solo a fini didattici.</t>
  </si>
  <si>
    <t>Vietato ogni utilizzo professionale.</t>
  </si>
  <si>
    <t>I principali elementi economici in un’operazione di finanziamento</t>
  </si>
  <si>
    <t>Capitolo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</si>
</sst>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€&quot;\ #,##0.00;[Red]\-&quot;€&quot;\ #,##0.00"/>
    <numFmt numFmtId="165" formatCode="#,##0_ ;\-#,##0\ "/>
    <numFmt numFmtId="166" formatCode="#,##0.00_ ;\-#,##0.00\ "/>
    <numFmt numFmtId="167" formatCode="_-[$€]* #,##0.00_-;\-[$€]* #,##0.00_-;_-[$€]* &quot;-&quot;??_-;_-@_-"/>
    <numFmt numFmtId="168" formatCode="_(* #,##0_);_(* \(#,##0\);_(* &quot;-&quot;_);_(@_)"/>
    <numFmt numFmtId="169" formatCode="_(&quot;$&quot;* #,##0_);_(&quot;$&quot;* \(#,##0\);_(&quot;$&quot;* &quot;-&quot;_);_(@_)"/>
    <numFmt numFmtId="170" formatCode="0.0%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0.8"/>
      <color theme="10"/>
      <name val="Calibri"/>
      <family val="2"/>
    </font>
    <font>
      <sz val="11"/>
      <color theme="1"/>
      <name val="Times New Roman"/>
      <family val="1"/>
    </font>
    <font>
      <sz val="11"/>
      <color theme="3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i/>
      <sz val="11"/>
      <color theme="1"/>
      <name val="Times New Roman"/>
      <family val="1"/>
    </font>
    <font>
      <u/>
      <sz val="11"/>
      <color theme="10"/>
      <name val="Calibri"/>
      <family val="2"/>
    </font>
    <font>
      <sz val="11"/>
      <color rgb="FF0070C0"/>
      <name val="Times New Roman"/>
      <family val="1"/>
    </font>
    <font>
      <b/>
      <sz val="11"/>
      <color rgb="FF0070C0"/>
      <name val="Times New Roman"/>
      <family val="1"/>
    </font>
    <font>
      <i/>
      <sz val="11"/>
      <color rgb="FF0070C0"/>
      <name val="Times New Roman"/>
      <family val="1"/>
    </font>
    <font>
      <b/>
      <i/>
      <sz val="11"/>
      <color rgb="FF0070C0"/>
      <name val="Times New Roman"/>
      <family val="1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u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" fillId="0" borderId="0"/>
    <xf numFmtId="0" fontId="5" fillId="0" borderId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22" fillId="0" borderId="0" applyNumberFormat="0" applyFill="0" applyBorder="0" applyAlignment="0" applyProtection="0"/>
  </cellStyleXfs>
  <cellXfs count="71">
    <xf numFmtId="0" fontId="0" fillId="0" borderId="0" xfId="0"/>
    <xf numFmtId="0" fontId="7" fillId="0" borderId="0" xfId="0" applyFont="1"/>
    <xf numFmtId="165" fontId="8" fillId="0" borderId="0" xfId="0" applyNumberFormat="1" applyFont="1"/>
    <xf numFmtId="10" fontId="8" fillId="0" borderId="0" xfId="7" applyNumberFormat="1" applyFont="1"/>
    <xf numFmtId="165" fontId="7" fillId="0" borderId="0" xfId="0" applyNumberFormat="1" applyFont="1"/>
    <xf numFmtId="0" fontId="9" fillId="0" borderId="0" xfId="0" applyFont="1"/>
    <xf numFmtId="165" fontId="9" fillId="0" borderId="0" xfId="0" applyNumberFormat="1" applyFont="1"/>
    <xf numFmtId="0" fontId="10" fillId="0" borderId="0" xfId="0" applyFont="1"/>
    <xf numFmtId="165" fontId="10" fillId="0" borderId="0" xfId="0" applyNumberFormat="1" applyFont="1"/>
    <xf numFmtId="166" fontId="7" fillId="0" borderId="0" xfId="0" applyNumberFormat="1" applyFont="1"/>
    <xf numFmtId="164" fontId="7" fillId="0" borderId="0" xfId="0" applyNumberFormat="1" applyFont="1"/>
    <xf numFmtId="0" fontId="11" fillId="0" borderId="0" xfId="0" applyFont="1"/>
    <xf numFmtId="0" fontId="7" fillId="0" borderId="0" xfId="0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165" fontId="9" fillId="0" borderId="1" xfId="0" applyNumberFormat="1" applyFont="1" applyBorder="1" applyAlignment="1">
      <alignment horizontal="center" vertical="center"/>
    </xf>
    <xf numFmtId="9" fontId="10" fillId="0" borderId="0" xfId="7" applyFont="1" applyAlignment="1">
      <alignment horizontal="center" vertical="center"/>
    </xf>
    <xf numFmtId="9" fontId="7" fillId="0" borderId="0" xfId="7" applyFont="1"/>
    <xf numFmtId="165" fontId="7" fillId="0" borderId="3" xfId="0" applyNumberFormat="1" applyFont="1" applyBorder="1"/>
    <xf numFmtId="165" fontId="7" fillId="0" borderId="2" xfId="0" applyNumberFormat="1" applyFont="1" applyBorder="1"/>
    <xf numFmtId="10" fontId="12" fillId="0" borderId="0" xfId="0" applyNumberFormat="1" applyFont="1"/>
    <xf numFmtId="165" fontId="2" fillId="0" borderId="0" xfId="0" applyNumberFormat="1" applyFont="1" applyAlignment="1" applyProtection="1">
      <alignment horizontal="center" vertical="center"/>
      <protection locked="0"/>
    </xf>
    <xf numFmtId="165" fontId="7" fillId="0" borderId="0" xfId="0" applyNumberFormat="1" applyFont="1" applyAlignment="1" applyProtection="1">
      <alignment horizontal="center" vertical="center"/>
      <protection locked="0"/>
    </xf>
    <xf numFmtId="165" fontId="10" fillId="0" borderId="0" xfId="0" applyNumberFormat="1" applyFont="1" applyAlignment="1" applyProtection="1">
      <alignment horizontal="center" vertical="center"/>
      <protection locked="0"/>
    </xf>
    <xf numFmtId="165" fontId="7" fillId="0" borderId="1" xfId="0" applyNumberFormat="1" applyFont="1" applyBorder="1" applyAlignment="1" applyProtection="1">
      <alignment horizontal="center" vertical="center"/>
      <protection locked="0"/>
    </xf>
    <xf numFmtId="0" fontId="14" fillId="0" borderId="0" xfId="0" applyFont="1"/>
    <xf numFmtId="0" fontId="15" fillId="0" borderId="0" xfId="0" applyFont="1"/>
    <xf numFmtId="0" fontId="16" fillId="0" borderId="0" xfId="0" applyFont="1"/>
    <xf numFmtId="10" fontId="14" fillId="0" borderId="0" xfId="7" applyNumberFormat="1" applyFont="1"/>
    <xf numFmtId="165" fontId="15" fillId="0" borderId="0" xfId="0" applyNumberFormat="1" applyFont="1"/>
    <xf numFmtId="165" fontId="14" fillId="0" borderId="0" xfId="0" applyNumberFormat="1" applyFont="1"/>
    <xf numFmtId="0" fontId="14" fillId="2" borderId="0" xfId="0" applyFont="1" applyFill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165" fontId="14" fillId="0" borderId="0" xfId="0" applyNumberFormat="1" applyFont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7" fillId="3" borderId="0" xfId="0" applyFont="1" applyFill="1"/>
    <xf numFmtId="165" fontId="7" fillId="3" borderId="0" xfId="0" applyNumberFormat="1" applyFont="1" applyFill="1"/>
    <xf numFmtId="165" fontId="7" fillId="3" borderId="3" xfId="0" applyNumberFormat="1" applyFont="1" applyFill="1" applyBorder="1"/>
    <xf numFmtId="165" fontId="14" fillId="2" borderId="0" xfId="0" applyNumberFormat="1" applyFont="1" applyFill="1"/>
    <xf numFmtId="10" fontId="7" fillId="0" borderId="0" xfId="7" applyNumberFormat="1" applyFont="1"/>
    <xf numFmtId="9" fontId="14" fillId="0" borderId="0" xfId="7" applyFont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10" fontId="18" fillId="0" borderId="0" xfId="7" applyNumberFormat="1" applyFont="1"/>
    <xf numFmtId="10" fontId="0" fillId="0" borderId="0" xfId="7" applyNumberFormat="1" applyFont="1"/>
    <xf numFmtId="10" fontId="0" fillId="0" borderId="0" xfId="0" applyNumberFormat="1"/>
    <xf numFmtId="170" fontId="18" fillId="0" borderId="0" xfId="7" applyNumberFormat="1" applyFont="1"/>
    <xf numFmtId="0" fontId="14" fillId="0" borderId="3" xfId="0" applyFont="1" applyBorder="1"/>
    <xf numFmtId="0" fontId="14" fillId="0" borderId="2" xfId="0" applyFont="1" applyBorder="1"/>
    <xf numFmtId="0" fontId="17" fillId="0" borderId="0" xfId="0" applyFont="1"/>
    <xf numFmtId="0" fontId="18" fillId="0" borderId="0" xfId="0" applyFont="1"/>
    <xf numFmtId="10" fontId="18" fillId="0" borderId="0" xfId="0" applyNumberFormat="1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10" fontId="14" fillId="0" borderId="1" xfId="7" applyNumberFormat="1" applyFont="1" applyBorder="1" applyAlignment="1" applyProtection="1">
      <alignment horizontal="center" vertical="center"/>
      <protection locked="0"/>
    </xf>
    <xf numFmtId="165" fontId="15" fillId="0" borderId="1" xfId="0" applyNumberFormat="1" applyFont="1" applyBorder="1" applyAlignment="1" applyProtection="1">
      <alignment horizontal="center" vertical="center"/>
      <protection locked="0"/>
    </xf>
    <xf numFmtId="165" fontId="14" fillId="0" borderId="0" xfId="0" applyNumberFormat="1" applyFont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4" fillId="0" borderId="1" xfId="0" applyFont="1" applyBorder="1" applyAlignment="1" applyProtection="1">
      <alignment horizontal="left" vertical="center"/>
      <protection locked="0"/>
    </xf>
    <xf numFmtId="165" fontId="5" fillId="0" borderId="0" xfId="12" applyNumberFormat="1"/>
    <xf numFmtId="165" fontId="23" fillId="3" borderId="0" xfId="12" applyNumberFormat="1" applyFont="1" applyFill="1"/>
    <xf numFmtId="165" fontId="24" fillId="3" borderId="0" xfId="12" applyNumberFormat="1" applyFont="1" applyFill="1"/>
    <xf numFmtId="165" fontId="21" fillId="0" borderId="0" xfId="12" applyNumberFormat="1" applyFont="1"/>
    <xf numFmtId="165" fontId="23" fillId="0" borderId="0" xfId="12" applyNumberFormat="1" applyFont="1"/>
    <xf numFmtId="165" fontId="24" fillId="0" borderId="0" xfId="12" applyNumberFormat="1" applyFont="1"/>
    <xf numFmtId="0" fontId="1" fillId="0" borderId="0" xfId="5"/>
    <xf numFmtId="165" fontId="22" fillId="0" borderId="0" xfId="13" applyNumberFormat="1"/>
  </cellXfs>
  <cellStyles count="14">
    <cellStyle name="Collegamento ipertestuale 2" xfId="1" xr:uid="{00000000-0005-0000-0000-000000000000}"/>
    <cellStyle name="Collegamento ipertestuale 2 2" xfId="13" xr:uid="{9A4DB866-FE7B-4576-B210-888B6C7E0FE4}"/>
    <cellStyle name="Collegamento ipertestuale 3" xfId="2" xr:uid="{00000000-0005-0000-0000-000001000000}"/>
    <cellStyle name="Collegamento ipertestuale 4" xfId="11" xr:uid="{65BAE697-C8C0-4023-8DF2-0EF0F6B7B628}"/>
    <cellStyle name="Euro" xfId="3" xr:uid="{00000000-0005-0000-0000-000002000000}"/>
    <cellStyle name="Migliaia (0)_Acquisizioni Dismissioni" xfId="4" xr:uid="{00000000-0005-0000-0000-000003000000}"/>
    <cellStyle name="Normale" xfId="0" builtinId="0"/>
    <cellStyle name="Normale 2" xfId="5" xr:uid="{00000000-0005-0000-0000-000005000000}"/>
    <cellStyle name="Normale 2 2" xfId="12" xr:uid="{14485286-C5FA-4D3C-A0FD-36D2BF00E4FC}"/>
    <cellStyle name="Normale 3" xfId="6" xr:uid="{00000000-0005-0000-0000-000006000000}"/>
    <cellStyle name="Percentuale" xfId="7" builtinId="5"/>
    <cellStyle name="Percentuale 2" xfId="8" xr:uid="{00000000-0005-0000-0000-000009000000}"/>
    <cellStyle name="Percentuale 3" xfId="9" xr:uid="{00000000-0005-0000-0000-00000A000000}"/>
    <cellStyle name="Valuta (0)_Acquisizioni Dismissioni" xfId="10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/>
              <a:t>EURIRS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 Tassi'!$B$2</c:f>
              <c:strCache>
                <c:ptCount val="1"/>
                <c:pt idx="0">
                  <c:v>Tasso EURIRS</c:v>
                </c:pt>
              </c:strCache>
            </c:strRef>
          </c:tx>
          <c:spPr>
            <a:ln w="28575" cap="rnd">
              <a:solidFill>
                <a:schemeClr val="bg2">
                  <a:lumMod val="9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90000"/>
                </a:schemeClr>
              </a:solidFill>
              <a:ln w="9525">
                <a:noFill/>
              </a:ln>
              <a:effectLst/>
            </c:spPr>
          </c:marker>
          <c:cat>
            <c:strRef>
              <c:f>'Gr Tassi'!$A$3:$A$13</c:f>
              <c:strCache>
                <c:ptCount val="11"/>
                <c:pt idx="0">
                  <c:v>1 anno </c:v>
                </c:pt>
                <c:pt idx="1">
                  <c:v>2 anni </c:v>
                </c:pt>
                <c:pt idx="2">
                  <c:v>3 anni </c:v>
                </c:pt>
                <c:pt idx="3">
                  <c:v>5 anni </c:v>
                </c:pt>
                <c:pt idx="4">
                  <c:v>7 anni </c:v>
                </c:pt>
                <c:pt idx="5">
                  <c:v>10 anni </c:v>
                </c:pt>
                <c:pt idx="6">
                  <c:v>12 anni </c:v>
                </c:pt>
                <c:pt idx="7">
                  <c:v>15 anni </c:v>
                </c:pt>
                <c:pt idx="8">
                  <c:v>20 anni </c:v>
                </c:pt>
                <c:pt idx="9">
                  <c:v>25 anni </c:v>
                </c:pt>
                <c:pt idx="10">
                  <c:v>30 anni </c:v>
                </c:pt>
              </c:strCache>
            </c:strRef>
          </c:cat>
          <c:val>
            <c:numRef>
              <c:f>'Gr Tassi'!$B$3:$B$13</c:f>
              <c:numCache>
                <c:formatCode>0.00%</c:formatCode>
                <c:ptCount val="11"/>
                <c:pt idx="0">
                  <c:v>1.2E-2</c:v>
                </c:pt>
                <c:pt idx="1">
                  <c:v>1.6E-2</c:v>
                </c:pt>
                <c:pt idx="2">
                  <c:v>2.1999999999999999E-2</c:v>
                </c:pt>
                <c:pt idx="3">
                  <c:v>2.5000000000000001E-2</c:v>
                </c:pt>
                <c:pt idx="4">
                  <c:v>0.03</c:v>
                </c:pt>
                <c:pt idx="5">
                  <c:v>3.5000000000000003E-2</c:v>
                </c:pt>
                <c:pt idx="6">
                  <c:v>3.5999999999999997E-2</c:v>
                </c:pt>
                <c:pt idx="7">
                  <c:v>3.6999999999999998E-2</c:v>
                </c:pt>
                <c:pt idx="8">
                  <c:v>3.9E-2</c:v>
                </c:pt>
                <c:pt idx="9">
                  <c:v>3.6999999999999998E-2</c:v>
                </c:pt>
                <c:pt idx="10">
                  <c:v>3.5999999999999997E-2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071-4F6A-94C3-2806C8EB6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7165664"/>
        <c:axId val="1077167104"/>
      </c:lineChart>
      <c:catAx>
        <c:axId val="10771656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077167104"/>
        <c:crosses val="autoZero"/>
        <c:auto val="1"/>
        <c:lblAlgn val="ctr"/>
        <c:lblOffset val="100"/>
        <c:noMultiLvlLbl val="0"/>
      </c:catAx>
      <c:valAx>
        <c:axId val="1077167104"/>
        <c:scaling>
          <c:orientation val="minMax"/>
          <c:max val="4.0000000000000008E-2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077165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it-IT" b="1"/>
              <a:t>EURIBOR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 Tassi'!$A$21</c:f>
              <c:strCache>
                <c:ptCount val="1"/>
                <c:pt idx="0">
                  <c:v>1 mese</c:v>
                </c:pt>
              </c:strCache>
            </c:strRef>
          </c:tx>
          <c:spPr>
            <a:ln w="28575" cap="rnd">
              <a:solidFill>
                <a:schemeClr val="bg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'Gr Tassi'!$A$22:$A$29</c:f>
              <c:numCache>
                <c:formatCode>0.0%</c:formatCode>
                <c:ptCount val="8"/>
                <c:pt idx="0">
                  <c:v>1.038E-2</c:v>
                </c:pt>
                <c:pt idx="1">
                  <c:v>9.7099999999999999E-3</c:v>
                </c:pt>
                <c:pt idx="2">
                  <c:v>8.3000000000000001E-3</c:v>
                </c:pt>
                <c:pt idx="3">
                  <c:v>8.0200000000000011E-3</c:v>
                </c:pt>
                <c:pt idx="4">
                  <c:v>7.6800000000000002E-3</c:v>
                </c:pt>
                <c:pt idx="5">
                  <c:v>5.8699999999999994E-3</c:v>
                </c:pt>
                <c:pt idx="6">
                  <c:v>1.14E-3</c:v>
                </c:pt>
                <c:pt idx="7">
                  <c:v>8.4000000000000003E-4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'Gr Tassi'!#REF!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715-4249-9197-BB703317A3C2}"/>
            </c:ext>
          </c:extLst>
        </c:ser>
        <c:ser>
          <c:idx val="1"/>
          <c:order val="1"/>
          <c:tx>
            <c:strRef>
              <c:f>'Gr Tassi'!$B$21</c:f>
              <c:strCache>
                <c:ptCount val="1"/>
                <c:pt idx="0">
                  <c:v>3 mesi </c:v>
                </c:pt>
              </c:strCache>
            </c:strRef>
          </c:tx>
          <c:spPr>
            <a:ln w="28575" cap="rnd">
              <a:solidFill>
                <a:schemeClr val="bg2">
                  <a:lumMod val="75000"/>
                </a:schemeClr>
              </a:solidFill>
              <a:prstDash val="lgDashDotDot"/>
              <a:round/>
            </a:ln>
            <a:effectLst/>
          </c:spPr>
          <c:marker>
            <c:symbol val="none"/>
          </c:marker>
          <c:val>
            <c:numRef>
              <c:f>'Gr Tassi'!$B$22:$B$29</c:f>
              <c:numCache>
                <c:formatCode>0.0%</c:formatCode>
                <c:ptCount val="8"/>
                <c:pt idx="0">
                  <c:v>1.1380000000000001E-2</c:v>
                </c:pt>
                <c:pt idx="1">
                  <c:v>1.171E-2</c:v>
                </c:pt>
                <c:pt idx="2">
                  <c:v>1.1300000000000001E-2</c:v>
                </c:pt>
                <c:pt idx="3">
                  <c:v>9.0200000000000002E-3</c:v>
                </c:pt>
                <c:pt idx="4">
                  <c:v>9.1800000000000007E-3</c:v>
                </c:pt>
                <c:pt idx="5">
                  <c:v>7.6699999999999997E-3</c:v>
                </c:pt>
                <c:pt idx="6">
                  <c:v>3.14E-3</c:v>
                </c:pt>
                <c:pt idx="7">
                  <c:v>1.8400000000000001E-3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'Gr Tassi'!#REF!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715-4249-9197-BB703317A3C2}"/>
            </c:ext>
          </c:extLst>
        </c:ser>
        <c:ser>
          <c:idx val="2"/>
          <c:order val="2"/>
          <c:tx>
            <c:strRef>
              <c:f>'Gr Tassi'!$C$21</c:f>
              <c:strCache>
                <c:ptCount val="1"/>
                <c:pt idx="0">
                  <c:v>6 mesi </c:v>
                </c:pt>
              </c:strCache>
            </c:strRef>
          </c:tx>
          <c:spPr>
            <a:ln w="28575" cap="rnd">
              <a:solidFill>
                <a:schemeClr val="bg2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val>
            <c:numRef>
              <c:f>'Gr Tassi'!$C$22:$C$29</c:f>
              <c:numCache>
                <c:formatCode>0.0%</c:formatCode>
                <c:ptCount val="8"/>
                <c:pt idx="0">
                  <c:v>1.2380000000000002E-2</c:v>
                </c:pt>
                <c:pt idx="1">
                  <c:v>1.371E-2</c:v>
                </c:pt>
                <c:pt idx="2">
                  <c:v>1.43E-2</c:v>
                </c:pt>
                <c:pt idx="3">
                  <c:v>1.0020000000000001E-2</c:v>
                </c:pt>
                <c:pt idx="4">
                  <c:v>1.068E-2</c:v>
                </c:pt>
                <c:pt idx="5">
                  <c:v>9.4699999999999993E-3</c:v>
                </c:pt>
                <c:pt idx="6">
                  <c:v>5.1400000000000005E-3</c:v>
                </c:pt>
                <c:pt idx="7">
                  <c:v>2.8400000000000001E-3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'Gr Tassi'!#REF!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715-4249-9197-BB703317A3C2}"/>
            </c:ext>
          </c:extLst>
        </c:ser>
        <c:ser>
          <c:idx val="3"/>
          <c:order val="3"/>
          <c:tx>
            <c:strRef>
              <c:f>'Gr Tassi'!$D$21</c:f>
              <c:strCache>
                <c:ptCount val="1"/>
                <c:pt idx="0">
                  <c:v>9 mesi </c:v>
                </c:pt>
              </c:strCache>
            </c:strRef>
          </c:tx>
          <c:spPr>
            <a:ln w="28575" cap="rnd" cmpd="sng">
              <a:solidFill>
                <a:schemeClr val="bg2">
                  <a:lumMod val="25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'Gr Tassi'!$D$22:$D$29</c:f>
              <c:numCache>
                <c:formatCode>0.0%</c:formatCode>
                <c:ptCount val="8"/>
                <c:pt idx="0">
                  <c:v>1.3380000000000003E-2</c:v>
                </c:pt>
                <c:pt idx="1">
                  <c:v>1.5710000000000002E-2</c:v>
                </c:pt>
                <c:pt idx="2">
                  <c:v>1.7299999999999999E-2</c:v>
                </c:pt>
                <c:pt idx="3">
                  <c:v>1.4020000000000001E-2</c:v>
                </c:pt>
                <c:pt idx="4">
                  <c:v>1.218E-2</c:v>
                </c:pt>
                <c:pt idx="5">
                  <c:v>1.1269999999999999E-2</c:v>
                </c:pt>
                <c:pt idx="6">
                  <c:v>7.1400000000000005E-3</c:v>
                </c:pt>
                <c:pt idx="7">
                  <c:v>3.8400000000000001E-3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'Gr Tassi'!#REF!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715-4249-9197-BB703317A3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7490848"/>
        <c:axId val="1100645520"/>
      </c:lineChart>
      <c:catAx>
        <c:axId val="1097490848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100645520"/>
        <c:crosses val="autoZero"/>
        <c:auto val="1"/>
        <c:lblAlgn val="ctr"/>
        <c:lblOffset val="100"/>
        <c:noMultiLvlLbl val="1"/>
      </c:catAx>
      <c:valAx>
        <c:axId val="1100645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097490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262117</xdr:colOff>
      <xdr:row>1</xdr:row>
      <xdr:rowOff>20031</xdr:rowOff>
    </xdr:from>
    <xdr:to>
      <xdr:col>6</xdr:col>
      <xdr:colOff>206746</xdr:colOff>
      <xdr:row>13</xdr:row>
      <xdr:rowOff>113489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E209D3E5-51C8-4BC0-AB78-005236DA0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9742" y="210531"/>
          <a:ext cx="2383029" cy="2379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598969</xdr:colOff>
      <xdr:row>1</xdr:row>
      <xdr:rowOff>18392</xdr:rowOff>
    </xdr:from>
    <xdr:to>
      <xdr:col>15</xdr:col>
      <xdr:colOff>139888</xdr:colOff>
      <xdr:row>13</xdr:row>
      <xdr:rowOff>164630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CF852A-F929-43CF-86AD-EF3F1EFAD5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1575</xdr:colOff>
      <xdr:row>20</xdr:row>
      <xdr:rowOff>23032</xdr:rowOff>
    </xdr:from>
    <xdr:to>
      <xdr:col>13</xdr:col>
      <xdr:colOff>271961</xdr:colOff>
      <xdr:row>35</xdr:row>
      <xdr:rowOff>909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B2F2B06-CC82-4801-A7E2-D05FBAD46F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219808</xdr:colOff>
      <xdr:row>0</xdr:row>
      <xdr:rowOff>51288</xdr:rowOff>
    </xdr:from>
    <xdr:to>
      <xdr:col>30</xdr:col>
      <xdr:colOff>256442</xdr:colOff>
      <xdr:row>15</xdr:row>
      <xdr:rowOff>102577</xdr:rowOff>
    </xdr:to>
    <xdr:cxnSp macro="">
      <xdr:nvCxnSpPr>
        <xdr:cNvPr id="3" name="Connettore diritto 2">
          <a:extLst>
            <a:ext uri="{FF2B5EF4-FFF2-40B4-BE49-F238E27FC236}">
              <a16:creationId xmlns:a16="http://schemas.microsoft.com/office/drawing/2014/main" id="{3C4108FC-9399-8A79-0F39-6994180C78B5}"/>
            </a:ext>
          </a:extLst>
        </xdr:cNvPr>
        <xdr:cNvCxnSpPr/>
      </xdr:nvCxnSpPr>
      <xdr:spPr>
        <a:xfrm flipH="1">
          <a:off x="10499481" y="51288"/>
          <a:ext cx="36634" cy="290878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ondi%20imm%20+%20report\DOCUME~1\User\IMPOST~1\Temp\Rar$DI00.172\UTENTI\Morri\Performance%20fondi\dati%20fondi9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g\dati%20fondi6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server\altro\My%20Documents\Out%20of%20Reach\OOR%2099\1999%20OUT%20OF%20REA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kt"/>
      <sheetName val="dati"/>
      <sheetName val="gDISC gr1"/>
      <sheetName val="gMV gr3"/>
      <sheetName val="gCOST gr5"/>
      <sheetName val="g IndiceBNL Gr8"/>
      <sheetName val="gINDICI gr6"/>
      <sheetName val="IndiceBNLdurationGr12"/>
      <sheetName val="l"/>
      <sheetName val="dati (2)"/>
      <sheetName val="VolMib"/>
      <sheetName val="sole24"/>
      <sheetName val="sintDiv"/>
      <sheetName val="tabDisc"/>
      <sheetName val="tabYTD"/>
      <sheetName val="tabAcVen"/>
      <sheetName val="tabPerf"/>
      <sheetName val="tabShTr"/>
      <sheetName val="tabMv"/>
      <sheetName val="tabVol"/>
      <sheetName val="tabVol%"/>
      <sheetName val="cover"/>
      <sheetName val="cover (E)"/>
      <sheetName val="s1"/>
      <sheetName val="s2"/>
      <sheetName val="s3"/>
      <sheetName val="s4"/>
      <sheetName val="s5"/>
      <sheetName val="s6"/>
      <sheetName val="s7"/>
      <sheetName val="s8"/>
      <sheetName val="s9"/>
      <sheetName val="s11"/>
      <sheetName val="s12"/>
      <sheetName val="s13"/>
      <sheetName val="s15"/>
      <sheetName val="s17"/>
      <sheetName val="s19"/>
      <sheetName val="s20"/>
      <sheetName val="s21"/>
      <sheetName val="s24"/>
      <sheetName val="s25"/>
      <sheetName val="s33"/>
      <sheetName val="s42"/>
      <sheetName val="s74"/>
      <sheetName val="Anagrafica"/>
      <sheetName val="navq"/>
      <sheetName val="quotazione"/>
      <sheetName val="Patrimonio"/>
      <sheetName val="attività"/>
      <sheetName val="Debito"/>
      <sheetName val="Proventi"/>
      <sheetName val="Anagrafica (SGR)"/>
      <sheetName val="Patrimonio (SGR)"/>
      <sheetName val="Attività (SGR)"/>
      <sheetName val="AttFondiEmessi"/>
      <sheetName val="AttFondiDelGest"/>
      <sheetName val="AttTotale"/>
      <sheetName val="sintesi"/>
      <sheetName val="navquota(2)"/>
      <sheetName val="disc(2)"/>
      <sheetName val="gr1"/>
      <sheetName val="gr2"/>
      <sheetName val="disc(4)"/>
      <sheetName val="Gr3MvVol"/>
      <sheetName val="mv"/>
      <sheetName val="annualreturn"/>
      <sheetName val="gr4cos"/>
      <sheetName val="cost"/>
      <sheetName val="cost (2)"/>
      <sheetName val="gr5"/>
      <sheetName val="gr5 (2)"/>
      <sheetName val="gr10corH"/>
      <sheetName val="gr11corR"/>
      <sheetName val="bm"/>
      <sheetName val="peso"/>
      <sheetName val="index (2)"/>
      <sheetName val="index"/>
      <sheetName val="index (3)"/>
      <sheetName val="index (4)"/>
      <sheetName val="gr7"/>
      <sheetName val="gr7(2)"/>
      <sheetName val="index (5)"/>
      <sheetName val="gr7(3)"/>
      <sheetName val="Gr8 (2)"/>
      <sheetName val="Gr8 (3)"/>
      <sheetName val="indexSO"/>
      <sheetName val="index (6)"/>
      <sheetName val="gr9"/>
      <sheetName val="gr9 (2)"/>
      <sheetName val="gr9 (3)"/>
      <sheetName val="gr9 (4)"/>
      <sheetName val="gr9 (5)"/>
      <sheetName val="1"/>
      <sheetName val="2"/>
      <sheetName val="3"/>
      <sheetName val="4"/>
      <sheetName val="5"/>
      <sheetName val="6"/>
      <sheetName val="7"/>
      <sheetName val="8"/>
      <sheetName val="9"/>
      <sheetName val="11"/>
      <sheetName val="12"/>
      <sheetName val="13"/>
      <sheetName val="15"/>
      <sheetName val="17"/>
      <sheetName val="19"/>
      <sheetName val="20"/>
      <sheetName val="21"/>
      <sheetName val="24"/>
      <sheetName val="25"/>
      <sheetName val="33"/>
      <sheetName val="42"/>
      <sheetName val="74"/>
      <sheetName val="indici"/>
      <sheetName val="quote fondiD"/>
      <sheetName val="Sheet3"/>
      <sheetName val="inflazione"/>
      <sheetName val="inflazione (2)"/>
      <sheetName val="data quotazione fondi"/>
      <sheetName val="indiciD"/>
      <sheetName val="Foglio1"/>
      <sheetName val="Grafico1"/>
      <sheetName val="Grafico1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C5">
            <v>1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ntesi"/>
      <sheetName val="VolMib"/>
      <sheetName val="sole24"/>
      <sheetName val="sintDiv"/>
      <sheetName val="tabDisc"/>
      <sheetName val="tabYTD"/>
      <sheetName val="tabAcVen"/>
      <sheetName val="tabPerf"/>
      <sheetName val="tabShTr"/>
      <sheetName val="tabMv"/>
      <sheetName val="tabVol"/>
      <sheetName val="tabVol%"/>
      <sheetName val="cover"/>
      <sheetName val="s1"/>
      <sheetName val="s2"/>
      <sheetName val="s3"/>
      <sheetName val="s4"/>
      <sheetName val="s5"/>
      <sheetName val="s6"/>
      <sheetName val="s7"/>
      <sheetName val="s8"/>
      <sheetName val="s9"/>
      <sheetName val="s11"/>
      <sheetName val="s12"/>
      <sheetName val="s13"/>
      <sheetName val="s15"/>
      <sheetName val="s17"/>
      <sheetName val="s19"/>
      <sheetName val="s20"/>
      <sheetName val="s21"/>
      <sheetName val="s25"/>
      <sheetName val="s33"/>
      <sheetName val="s42"/>
      <sheetName val="s74"/>
      <sheetName val="Anagrafica"/>
      <sheetName val="quotazione"/>
      <sheetName val="navq"/>
      <sheetName val="Patrimonio"/>
      <sheetName val="attività"/>
      <sheetName val="Debito"/>
      <sheetName val="Proventi"/>
      <sheetName val="Anagrafica (SGR)"/>
      <sheetName val="Patrimonio (SGR)"/>
      <sheetName val="Attività (SGR)"/>
      <sheetName val="AttFondiEmessi"/>
      <sheetName val="AttFondiDelGest"/>
      <sheetName val="AttTotale"/>
      <sheetName val="navquota(2)"/>
      <sheetName val="disc(2)"/>
      <sheetName val="gr1"/>
      <sheetName val="gr2"/>
      <sheetName val="disc(4)"/>
      <sheetName val="Gr3MvVol"/>
      <sheetName val="mv"/>
      <sheetName val="annualreturn"/>
      <sheetName val="cost"/>
      <sheetName val="cost (2)"/>
      <sheetName val="gr4cost"/>
      <sheetName val="gr5"/>
      <sheetName val="gr5 (2)"/>
      <sheetName val="Gr6"/>
      <sheetName val="bm"/>
      <sheetName val="peso"/>
      <sheetName val="index (2)"/>
      <sheetName val="index"/>
      <sheetName val="index (3)"/>
      <sheetName val="index (4)"/>
      <sheetName val="gr7"/>
      <sheetName val="gr7(2)"/>
      <sheetName val="index (5)"/>
      <sheetName val="gr7(3)"/>
      <sheetName val="Gr8"/>
      <sheetName val="Gr8 (2)"/>
      <sheetName val="Gr8 (3)"/>
      <sheetName val="indexSO"/>
      <sheetName val="index (6)"/>
      <sheetName val="gr9"/>
      <sheetName val="gr9 (2)"/>
      <sheetName val="gr9 (3)"/>
      <sheetName val="gr9 (4)"/>
      <sheetName val="1"/>
      <sheetName val="2"/>
      <sheetName val="3"/>
      <sheetName val="4"/>
      <sheetName val="5"/>
      <sheetName val="6"/>
      <sheetName val="7"/>
      <sheetName val="8"/>
      <sheetName val="9"/>
      <sheetName val="11"/>
      <sheetName val="12"/>
      <sheetName val="13"/>
      <sheetName val="15"/>
      <sheetName val="17"/>
      <sheetName val="19"/>
      <sheetName val="20"/>
      <sheetName val="21"/>
      <sheetName val="25"/>
      <sheetName val="33"/>
      <sheetName val="42"/>
      <sheetName val="74"/>
      <sheetName val="epra"/>
      <sheetName val="inf"/>
      <sheetName val="indici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/>
      <sheetData sheetId="52" refreshError="1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 refreshError="1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"/>
      <sheetName val="Sheet1"/>
      <sheetName val="states"/>
      <sheetName val="msa's"/>
      <sheetName val="counties"/>
      <sheetName val="vlookup"/>
      <sheetName val="90data"/>
      <sheetName val="Sheet8"/>
      <sheetName val="Sheet9"/>
      <sheetName val="Sheet10"/>
    </sheetNames>
    <sheetDataSet>
      <sheetData sheetId="0"/>
      <sheetData sheetId="1"/>
      <sheetData sheetId="2"/>
      <sheetData sheetId="3"/>
      <sheetData sheetId="4"/>
      <sheetData sheetId="5">
        <row r="4">
          <cell r="A4">
            <v>0.25</v>
          </cell>
          <cell r="B4">
            <v>0.11</v>
          </cell>
        </row>
        <row r="5">
          <cell r="A5">
            <v>0.26396363636363634</v>
          </cell>
          <cell r="B5">
            <v>0.12</v>
          </cell>
        </row>
        <row r="6">
          <cell r="A6">
            <v>0.27272727272727271</v>
          </cell>
          <cell r="B6">
            <v>0.13</v>
          </cell>
        </row>
        <row r="7">
          <cell r="A7">
            <v>0.28963636363636364</v>
          </cell>
          <cell r="B7">
            <v>0.14000000000000001</v>
          </cell>
        </row>
        <row r="8">
          <cell r="A8">
            <v>0.30790909090909091</v>
          </cell>
          <cell r="B8">
            <v>0.15</v>
          </cell>
        </row>
        <row r="9">
          <cell r="A9">
            <v>0.31909090909090909</v>
          </cell>
          <cell r="B9">
            <v>0.16</v>
          </cell>
        </row>
        <row r="10">
          <cell r="A10">
            <v>0.33119409090909091</v>
          </cell>
          <cell r="B10">
            <v>0.17</v>
          </cell>
        </row>
        <row r="11">
          <cell r="A11">
            <v>0.3458181818181818</v>
          </cell>
          <cell r="B11">
            <v>0.18</v>
          </cell>
        </row>
        <row r="12">
          <cell r="A12">
            <v>0.36363636363636365</v>
          </cell>
          <cell r="B12">
            <v>0.19</v>
          </cell>
        </row>
        <row r="13">
          <cell r="A13">
            <v>0.38181818181818183</v>
          </cell>
          <cell r="B13">
            <v>0.2</v>
          </cell>
        </row>
        <row r="14">
          <cell r="A14">
            <v>0.39545454545454545</v>
          </cell>
          <cell r="B14">
            <v>0.21</v>
          </cell>
        </row>
        <row r="15">
          <cell r="A15">
            <v>0.40909090909090912</v>
          </cell>
          <cell r="B15">
            <v>0.22</v>
          </cell>
        </row>
        <row r="16">
          <cell r="A16">
            <v>0.43181818181818182</v>
          </cell>
          <cell r="B16">
            <v>0.23</v>
          </cell>
        </row>
        <row r="17">
          <cell r="A17">
            <v>0.45454545454545453</v>
          </cell>
          <cell r="B17">
            <v>0.24</v>
          </cell>
        </row>
        <row r="18">
          <cell r="A18">
            <v>0.45454545454545453</v>
          </cell>
          <cell r="B18">
            <v>0.25</v>
          </cell>
        </row>
        <row r="19">
          <cell r="A19">
            <v>0.47727272727272729</v>
          </cell>
          <cell r="B19">
            <v>0.26</v>
          </cell>
        </row>
        <row r="20">
          <cell r="A20">
            <v>0.5</v>
          </cell>
          <cell r="B20">
            <v>0.27</v>
          </cell>
        </row>
        <row r="21">
          <cell r="A21">
            <v>0.51600000000000001</v>
          </cell>
          <cell r="B21">
            <v>0.28000000000000003</v>
          </cell>
        </row>
        <row r="22">
          <cell r="A22">
            <v>0.54545454545454541</v>
          </cell>
          <cell r="B22">
            <v>0.28999999999999998</v>
          </cell>
        </row>
        <row r="23">
          <cell r="A23">
            <v>0.54545454545454541</v>
          </cell>
          <cell r="B23">
            <v>0.3</v>
          </cell>
        </row>
        <row r="24">
          <cell r="A24">
            <v>0.56650954545454546</v>
          </cell>
          <cell r="B24">
            <v>0.31</v>
          </cell>
        </row>
        <row r="25">
          <cell r="A25">
            <v>0.59090909090909094</v>
          </cell>
          <cell r="B25">
            <v>0.32</v>
          </cell>
        </row>
        <row r="26">
          <cell r="A26">
            <v>0.61363636363636365</v>
          </cell>
          <cell r="B26">
            <v>0.33</v>
          </cell>
        </row>
        <row r="27">
          <cell r="A27">
            <v>0.63636363636363635</v>
          </cell>
          <cell r="B27">
            <v>0.34</v>
          </cell>
        </row>
        <row r="28">
          <cell r="A28">
            <v>0.65454545454545454</v>
          </cell>
          <cell r="B28">
            <v>0.35</v>
          </cell>
        </row>
        <row r="29">
          <cell r="A29">
            <v>0.68181818181818177</v>
          </cell>
          <cell r="B29">
            <v>0.36</v>
          </cell>
        </row>
        <row r="30">
          <cell r="A30">
            <v>0.68181818181818177</v>
          </cell>
          <cell r="B30">
            <v>0.37</v>
          </cell>
        </row>
        <row r="31">
          <cell r="A31">
            <v>0.70909090909090911</v>
          </cell>
          <cell r="B31">
            <v>0.38</v>
          </cell>
        </row>
        <row r="32">
          <cell r="A32">
            <v>0.72727272727272729</v>
          </cell>
          <cell r="B32">
            <v>0.39</v>
          </cell>
        </row>
        <row r="33">
          <cell r="A33">
            <v>0.75839318181818194</v>
          </cell>
          <cell r="B33">
            <v>0.4</v>
          </cell>
        </row>
        <row r="34">
          <cell r="A34">
            <v>0.77272727272727271</v>
          </cell>
          <cell r="B34">
            <v>0.41</v>
          </cell>
        </row>
        <row r="35">
          <cell r="A35">
            <v>0.81818181818181823</v>
          </cell>
          <cell r="B35">
            <v>0.42</v>
          </cell>
        </row>
        <row r="36">
          <cell r="A36">
            <v>0.81818181818181823</v>
          </cell>
          <cell r="B36">
            <v>0.43</v>
          </cell>
        </row>
        <row r="37">
          <cell r="A37">
            <v>0.85090909090909095</v>
          </cell>
          <cell r="B37">
            <v>0.44</v>
          </cell>
        </row>
        <row r="38">
          <cell r="A38">
            <v>0.87272727272727268</v>
          </cell>
          <cell r="B38">
            <v>0.45</v>
          </cell>
        </row>
        <row r="39">
          <cell r="A39">
            <v>0.90909090909090906</v>
          </cell>
          <cell r="B39">
            <v>0.46</v>
          </cell>
        </row>
        <row r="40">
          <cell r="A40">
            <v>0.90909090909090906</v>
          </cell>
          <cell r="B40">
            <v>0.47</v>
          </cell>
        </row>
        <row r="41">
          <cell r="A41">
            <v>0.92495454545454547</v>
          </cell>
          <cell r="B41">
            <v>0.48</v>
          </cell>
        </row>
        <row r="42">
          <cell r="A42">
            <v>0.95454545454545459</v>
          </cell>
          <cell r="B42">
            <v>0.49</v>
          </cell>
        </row>
        <row r="43">
          <cell r="A43">
            <v>0.98181818181818181</v>
          </cell>
          <cell r="B43">
            <v>0.5</v>
          </cell>
        </row>
        <row r="44">
          <cell r="A44">
            <v>1</v>
          </cell>
          <cell r="B44">
            <v>0.51</v>
          </cell>
        </row>
        <row r="45">
          <cell r="A45">
            <v>1.0352727272727273</v>
          </cell>
          <cell r="B45">
            <v>0.52</v>
          </cell>
        </row>
        <row r="46">
          <cell r="A46">
            <v>1.0478636363636364</v>
          </cell>
          <cell r="B46">
            <v>0.53</v>
          </cell>
        </row>
        <row r="47">
          <cell r="A47">
            <v>1.0909090909090908</v>
          </cell>
          <cell r="B47">
            <v>0.54</v>
          </cell>
        </row>
        <row r="48">
          <cell r="A48">
            <v>1.0940786363636363</v>
          </cell>
          <cell r="B48">
            <v>0.55000000000000004</v>
          </cell>
        </row>
        <row r="49">
          <cell r="A49">
            <v>1.1363181818181818</v>
          </cell>
          <cell r="B49">
            <v>0.56000000000000005</v>
          </cell>
        </row>
        <row r="50">
          <cell r="A50">
            <v>1.1363636363636365</v>
          </cell>
          <cell r="B50">
            <v>0.56999999999999995</v>
          </cell>
        </row>
        <row r="51">
          <cell r="A51">
            <v>1.1363636363636365</v>
          </cell>
          <cell r="B51">
            <v>0.57999999999999996</v>
          </cell>
        </row>
        <row r="52">
          <cell r="A52">
            <v>1.1454545454545455</v>
          </cell>
          <cell r="B52">
            <v>0.59</v>
          </cell>
        </row>
        <row r="53">
          <cell r="A53">
            <v>1.1817727272727272</v>
          </cell>
          <cell r="B53">
            <v>0.6</v>
          </cell>
        </row>
        <row r="54">
          <cell r="A54">
            <v>1.1818181818181819</v>
          </cell>
          <cell r="B54">
            <v>0.61</v>
          </cell>
        </row>
        <row r="55">
          <cell r="A55">
            <v>1.1883313636363637</v>
          </cell>
          <cell r="B55">
            <v>0.62</v>
          </cell>
        </row>
        <row r="56">
          <cell r="A56">
            <v>1.2272727272727273</v>
          </cell>
          <cell r="B56">
            <v>0.63</v>
          </cell>
        </row>
        <row r="57">
          <cell r="A57">
            <v>1.2672727272727273</v>
          </cell>
          <cell r="B57">
            <v>0.64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ropertyfinance.i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FA6D8-4CB2-41DB-92EC-6D674D4713D6}">
  <dimension ref="B2:C15"/>
  <sheetViews>
    <sheetView showGridLines="0" tabSelected="1" zoomScale="235" zoomScaleNormal="235" workbookViewId="0">
      <selection activeCell="B9" sqref="B9"/>
    </sheetView>
  </sheetViews>
  <sheetFormatPr defaultRowHeight="15" x14ac:dyDescent="0.25"/>
  <cols>
    <col min="1" max="1" width="9.140625" style="63"/>
    <col min="2" max="2" width="48.7109375" style="63" bestFit="1" customWidth="1"/>
    <col min="3" max="16384" width="9.140625" style="63"/>
  </cols>
  <sheetData>
    <row r="2" spans="2:3" x14ac:dyDescent="0.25">
      <c r="B2" s="63" t="s">
        <v>110</v>
      </c>
    </row>
    <row r="4" spans="2:3" x14ac:dyDescent="0.25">
      <c r="B4" s="64" t="s">
        <v>111</v>
      </c>
    </row>
    <row r="5" spans="2:3" x14ac:dyDescent="0.25">
      <c r="B5" s="65" t="s">
        <v>112</v>
      </c>
    </row>
    <row r="7" spans="2:3" x14ac:dyDescent="0.25">
      <c r="B7" s="66" t="s">
        <v>118</v>
      </c>
    </row>
    <row r="8" spans="2:3" x14ac:dyDescent="0.25">
      <c r="B8" s="67" t="s">
        <v>117</v>
      </c>
    </row>
    <row r="9" spans="2:3" x14ac:dyDescent="0.25">
      <c r="B9" s="68"/>
    </row>
    <row r="11" spans="2:3" x14ac:dyDescent="0.25">
      <c r="B11" s="63" t="s">
        <v>113</v>
      </c>
      <c r="C11" s="69"/>
    </row>
    <row r="12" spans="2:3" x14ac:dyDescent="0.25">
      <c r="B12" s="70" t="s">
        <v>114</v>
      </c>
    </row>
    <row r="14" spans="2:3" x14ac:dyDescent="0.25">
      <c r="B14" s="68" t="s">
        <v>115</v>
      </c>
    </row>
    <row r="15" spans="2:3" x14ac:dyDescent="0.25">
      <c r="B15" s="68" t="s">
        <v>116</v>
      </c>
    </row>
  </sheetData>
  <hyperlinks>
    <hyperlink ref="B12" r:id="rId1" xr:uid="{CEBAB78F-49DB-4D45-90C8-EAF7941038C0}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J11"/>
  <sheetViews>
    <sheetView showGridLines="0" zoomScale="115" zoomScaleNormal="115" workbookViewId="0">
      <selection activeCell="J10" sqref="J10"/>
    </sheetView>
  </sheetViews>
  <sheetFormatPr defaultColWidth="9.140625" defaultRowHeight="15" outlineLevelCol="1" x14ac:dyDescent="0.25"/>
  <cols>
    <col min="1" max="1" width="9.140625" style="1"/>
    <col min="2" max="3" width="0" style="1" hidden="1" customWidth="1" outlineLevel="1"/>
    <col min="4" max="4" width="28.140625" style="1" customWidth="1" collapsed="1"/>
    <col min="5" max="10" width="13.140625" style="1" customWidth="1"/>
    <col min="11" max="16384" width="9.140625" style="1"/>
  </cols>
  <sheetData>
    <row r="1" spans="1:10" x14ac:dyDescent="0.25">
      <c r="A1" s="33">
        <v>1</v>
      </c>
    </row>
    <row r="3" spans="1:10" x14ac:dyDescent="0.25">
      <c r="B3" s="28" t="s">
        <v>75</v>
      </c>
      <c r="C3" s="28" t="s">
        <v>49</v>
      </c>
      <c r="D3" s="5" t="str">
        <f>IF($A$1=1,B3,C3)</f>
        <v>Rata Italiana</v>
      </c>
      <c r="E3" s="30">
        <v>0.05</v>
      </c>
      <c r="F3" s="31">
        <v>1</v>
      </c>
      <c r="G3" s="31">
        <v>2</v>
      </c>
      <c r="H3" s="31">
        <v>3</v>
      </c>
      <c r="I3" s="31">
        <v>4</v>
      </c>
      <c r="J3" s="31">
        <v>5</v>
      </c>
    </row>
    <row r="4" spans="1:10" x14ac:dyDescent="0.25">
      <c r="B4" s="27" t="s">
        <v>0</v>
      </c>
      <c r="C4" s="27" t="s">
        <v>34</v>
      </c>
      <c r="D4" s="1" t="str">
        <f t="shared" ref="D4:D11" si="0">IF($A$1=1,B4,C4)</f>
        <v>Debito Iniziale</v>
      </c>
      <c r="E4" s="4"/>
      <c r="F4" s="4">
        <f>E10</f>
        <v>100000</v>
      </c>
      <c r="G4" s="4">
        <f>F10</f>
        <v>80000</v>
      </c>
      <c r="H4" s="4">
        <f>G10</f>
        <v>60000</v>
      </c>
      <c r="I4" s="4">
        <f>H10</f>
        <v>40000</v>
      </c>
      <c r="J4" s="4">
        <f>I10</f>
        <v>20000</v>
      </c>
    </row>
    <row r="5" spans="1:10" x14ac:dyDescent="0.25">
      <c r="B5" s="27" t="s">
        <v>1</v>
      </c>
      <c r="C5" s="27" t="s">
        <v>35</v>
      </c>
      <c r="D5" s="1" t="str">
        <f t="shared" si="0"/>
        <v>Erogazione</v>
      </c>
      <c r="E5" s="32">
        <v>100000</v>
      </c>
      <c r="F5" s="4"/>
      <c r="G5" s="4"/>
      <c r="H5" s="4"/>
      <c r="I5" s="4"/>
      <c r="J5" s="4"/>
    </row>
    <row r="6" spans="1:10" x14ac:dyDescent="0.25">
      <c r="B6" s="27" t="s">
        <v>4</v>
      </c>
      <c r="C6" s="27" t="s">
        <v>46</v>
      </c>
      <c r="D6" s="1" t="str">
        <f t="shared" si="0"/>
        <v>Oneri Finanziari maturati</v>
      </c>
      <c r="E6" s="4"/>
      <c r="F6" s="4">
        <f>F4*$E$3</f>
        <v>5000</v>
      </c>
      <c r="G6" s="4">
        <f>G4*$E$3</f>
        <v>4000</v>
      </c>
      <c r="H6" s="4">
        <f>H4*$E$3</f>
        <v>3000</v>
      </c>
      <c r="I6" s="4">
        <f>I4*$E$3</f>
        <v>2000</v>
      </c>
      <c r="J6" s="4">
        <f>J4*$E$3</f>
        <v>1000</v>
      </c>
    </row>
    <row r="7" spans="1:10" x14ac:dyDescent="0.25">
      <c r="B7" s="29" t="s">
        <v>5</v>
      </c>
      <c r="C7" s="29" t="s">
        <v>47</v>
      </c>
      <c r="D7" s="7" t="str">
        <f t="shared" si="0"/>
        <v>Oneri Finanziari pagati</v>
      </c>
      <c r="E7" s="8"/>
      <c r="F7" s="8">
        <f>F6</f>
        <v>5000</v>
      </c>
      <c r="G7" s="8">
        <f>G6</f>
        <v>4000</v>
      </c>
      <c r="H7" s="8">
        <f>H6</f>
        <v>3000</v>
      </c>
      <c r="I7" s="8">
        <f>I6</f>
        <v>2000</v>
      </c>
      <c r="J7" s="8">
        <f>J6</f>
        <v>1000</v>
      </c>
    </row>
    <row r="8" spans="1:10" x14ac:dyDescent="0.25">
      <c r="B8" s="29" t="s">
        <v>2</v>
      </c>
      <c r="C8" s="29" t="s">
        <v>66</v>
      </c>
      <c r="D8" s="7" t="str">
        <f t="shared" si="0"/>
        <v>Rimborso Capitale</v>
      </c>
      <c r="E8" s="8"/>
      <c r="F8" s="8">
        <f>$E$5/$J$3</f>
        <v>20000</v>
      </c>
      <c r="G8" s="8">
        <f>$E$5/$J$3</f>
        <v>20000</v>
      </c>
      <c r="H8" s="8">
        <f>$E$5/$J$3</f>
        <v>20000</v>
      </c>
      <c r="I8" s="8">
        <f>$E$5/$J$3</f>
        <v>20000</v>
      </c>
      <c r="J8" s="8">
        <f>$E$5/$J$3</f>
        <v>20000</v>
      </c>
    </row>
    <row r="9" spans="1:10" x14ac:dyDescent="0.25">
      <c r="B9" s="27" t="s">
        <v>44</v>
      </c>
      <c r="C9" s="27" t="s">
        <v>65</v>
      </c>
      <c r="D9" s="1" t="str">
        <f t="shared" si="0"/>
        <v>Servizio debito (Rata)</v>
      </c>
      <c r="E9" s="4"/>
      <c r="F9" s="4">
        <f>F8+F7</f>
        <v>25000</v>
      </c>
      <c r="G9" s="4">
        <f>G8+G7</f>
        <v>24000</v>
      </c>
      <c r="H9" s="4">
        <f>H8+H7</f>
        <v>23000</v>
      </c>
      <c r="I9" s="4">
        <f>I8+I7</f>
        <v>22000</v>
      </c>
      <c r="J9" s="4">
        <f>J8+J7</f>
        <v>21000</v>
      </c>
    </row>
    <row r="10" spans="1:10" x14ac:dyDescent="0.25">
      <c r="B10" s="27" t="s">
        <v>3</v>
      </c>
      <c r="C10" s="27" t="s">
        <v>36</v>
      </c>
      <c r="D10" s="1" t="str">
        <f t="shared" si="0"/>
        <v>Debito Finale</v>
      </c>
      <c r="E10" s="4">
        <f t="shared" ref="E10:J10" si="1">E4+E5-E8</f>
        <v>100000</v>
      </c>
      <c r="F10" s="4">
        <f t="shared" si="1"/>
        <v>80000</v>
      </c>
      <c r="G10" s="4">
        <f t="shared" si="1"/>
        <v>60000</v>
      </c>
      <c r="H10" s="4">
        <f t="shared" si="1"/>
        <v>40000</v>
      </c>
      <c r="I10" s="4">
        <f t="shared" si="1"/>
        <v>20000</v>
      </c>
      <c r="J10" s="4">
        <f t="shared" si="1"/>
        <v>0</v>
      </c>
    </row>
    <row r="11" spans="1:10" x14ac:dyDescent="0.25">
      <c r="B11" s="29" t="s">
        <v>109</v>
      </c>
      <c r="C11" s="29" t="s">
        <v>70</v>
      </c>
      <c r="D11" s="7" t="str">
        <f t="shared" si="0"/>
        <v>Pagamento periodico degli interessi e rimborso del capitale in quote costanti durante l'intera vita del finanziamento.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B2:M20"/>
  <sheetViews>
    <sheetView showGridLines="0" zoomScale="145" zoomScaleNormal="145" workbookViewId="0">
      <selection activeCell="J14" sqref="J14"/>
    </sheetView>
  </sheetViews>
  <sheetFormatPr defaultColWidth="9.140625" defaultRowHeight="15" x14ac:dyDescent="0.25"/>
  <cols>
    <col min="1" max="1" width="9.140625" style="1"/>
    <col min="2" max="2" width="18.140625" style="1" bestFit="1" customWidth="1"/>
    <col min="3" max="16384" width="9.140625" style="1"/>
  </cols>
  <sheetData>
    <row r="2" spans="2:13" x14ac:dyDescent="0.25">
      <c r="B2" s="27" t="s">
        <v>100</v>
      </c>
      <c r="C2" s="32">
        <v>100000</v>
      </c>
      <c r="E2" s="29" t="s">
        <v>98</v>
      </c>
      <c r="F2" s="3"/>
      <c r="G2" s="30">
        <v>1E-4</v>
      </c>
    </row>
    <row r="3" spans="2:13" x14ac:dyDescent="0.25">
      <c r="B3" s="29" t="s">
        <v>32</v>
      </c>
      <c r="C3" s="30">
        <v>0.01</v>
      </c>
      <c r="E3" s="29" t="s">
        <v>97</v>
      </c>
      <c r="G3" s="30">
        <v>2.5000000000000001E-3</v>
      </c>
    </row>
    <row r="4" spans="2:13" x14ac:dyDescent="0.25">
      <c r="B4" s="29" t="s">
        <v>33</v>
      </c>
      <c r="C4" s="30">
        <v>5.0000000000000001E-3</v>
      </c>
      <c r="E4" s="27" t="s">
        <v>99</v>
      </c>
      <c r="G4" s="30">
        <v>0.05</v>
      </c>
    </row>
    <row r="6" spans="2:13" x14ac:dyDescent="0.25">
      <c r="B6" s="28" t="s">
        <v>22</v>
      </c>
      <c r="C6" s="28">
        <v>0</v>
      </c>
      <c r="D6" s="28">
        <v>1</v>
      </c>
      <c r="E6" s="28">
        <v>2</v>
      </c>
      <c r="F6" s="28">
        <v>3</v>
      </c>
      <c r="G6" s="28">
        <v>4</v>
      </c>
      <c r="H6" s="28">
        <v>5</v>
      </c>
    </row>
    <row r="7" spans="2:13" x14ac:dyDescent="0.25">
      <c r="B7" s="49" t="s">
        <v>101</v>
      </c>
      <c r="C7" s="20"/>
      <c r="D7" s="20">
        <f>C11</f>
        <v>30000</v>
      </c>
      <c r="E7" s="20">
        <f t="shared" ref="E7:H7" si="0">D11</f>
        <v>70000</v>
      </c>
      <c r="F7" s="20">
        <f t="shared" si="0"/>
        <v>95000</v>
      </c>
      <c r="G7" s="20">
        <f t="shared" si="0"/>
        <v>100000</v>
      </c>
      <c r="H7" s="20">
        <f t="shared" si="0"/>
        <v>40000</v>
      </c>
      <c r="I7" s="4"/>
      <c r="J7" s="4"/>
      <c r="K7" s="4"/>
      <c r="L7" s="4"/>
      <c r="M7" s="4"/>
    </row>
    <row r="8" spans="2:13" x14ac:dyDescent="0.25">
      <c r="B8" s="27" t="s">
        <v>21</v>
      </c>
      <c r="C8" s="4">
        <f t="shared" ref="C8" si="1">$C$2-C7</f>
        <v>100000</v>
      </c>
      <c r="D8" s="4">
        <f>$C$2-D7</f>
        <v>70000</v>
      </c>
      <c r="E8" s="4">
        <f t="shared" ref="E8:H8" si="2">$C$2-E7</f>
        <v>30000</v>
      </c>
      <c r="F8" s="4">
        <f t="shared" si="2"/>
        <v>5000</v>
      </c>
      <c r="G8" s="4">
        <f t="shared" si="2"/>
        <v>0</v>
      </c>
      <c r="H8" s="4">
        <f t="shared" si="2"/>
        <v>60000</v>
      </c>
      <c r="I8" s="4"/>
      <c r="J8" s="4"/>
      <c r="K8" s="4"/>
      <c r="L8" s="4"/>
      <c r="M8" s="4"/>
    </row>
    <row r="9" spans="2:13" x14ac:dyDescent="0.25">
      <c r="B9" s="27" t="s">
        <v>1</v>
      </c>
      <c r="C9" s="32">
        <v>30000</v>
      </c>
      <c r="D9" s="32">
        <v>40000</v>
      </c>
      <c r="E9" s="32">
        <v>25000</v>
      </c>
      <c r="F9" s="32">
        <v>5000</v>
      </c>
      <c r="G9" s="2"/>
      <c r="H9" s="2"/>
      <c r="I9" s="4"/>
      <c r="J9" s="4"/>
      <c r="K9" s="4"/>
      <c r="L9" s="4"/>
      <c r="M9" s="4"/>
    </row>
    <row r="10" spans="2:13" x14ac:dyDescent="0.25">
      <c r="B10" s="27" t="s">
        <v>15</v>
      </c>
      <c r="C10" s="2"/>
      <c r="D10" s="2"/>
      <c r="E10" s="2"/>
      <c r="F10" s="2"/>
      <c r="G10" s="32">
        <v>60000</v>
      </c>
      <c r="H10" s="32">
        <v>40000</v>
      </c>
      <c r="I10" s="4"/>
      <c r="J10" s="4"/>
      <c r="K10" s="4"/>
      <c r="L10" s="4"/>
      <c r="M10" s="4"/>
    </row>
    <row r="11" spans="2:13" x14ac:dyDescent="0.25">
      <c r="B11" s="50" t="s">
        <v>103</v>
      </c>
      <c r="C11" s="21">
        <f>C7+C9-C10</f>
        <v>30000</v>
      </c>
      <c r="D11" s="21">
        <f>D7+D9-D10</f>
        <v>70000</v>
      </c>
      <c r="E11" s="21">
        <f t="shared" ref="E11:H11" si="3">E7+E9-E10</f>
        <v>95000</v>
      </c>
      <c r="F11" s="21">
        <f t="shared" si="3"/>
        <v>100000</v>
      </c>
      <c r="G11" s="21">
        <f t="shared" si="3"/>
        <v>40000</v>
      </c>
      <c r="H11" s="21">
        <f t="shared" si="3"/>
        <v>0</v>
      </c>
      <c r="I11" s="4"/>
      <c r="J11" s="4"/>
      <c r="K11" s="4"/>
      <c r="L11" s="4"/>
      <c r="M11" s="4"/>
    </row>
    <row r="12" spans="2:13" ht="4.5" customHeight="1" x14ac:dyDescent="0.25">
      <c r="C12" s="4"/>
      <c r="D12" s="4"/>
      <c r="E12" s="4"/>
      <c r="F12" s="4"/>
      <c r="G12" s="4"/>
      <c r="H12" s="4"/>
    </row>
    <row r="13" spans="2:13" x14ac:dyDescent="0.25">
      <c r="B13" s="29" t="s">
        <v>32</v>
      </c>
      <c r="C13" s="20">
        <f>C2*C3</f>
        <v>1000</v>
      </c>
      <c r="D13" s="40"/>
      <c r="E13" s="40"/>
      <c r="F13" s="40"/>
      <c r="G13" s="40"/>
      <c r="H13" s="40"/>
      <c r="I13" s="4"/>
      <c r="J13" s="4"/>
      <c r="K13" s="4"/>
      <c r="L13" s="4"/>
      <c r="M13" s="4"/>
    </row>
    <row r="14" spans="2:13" x14ac:dyDescent="0.25">
      <c r="B14" s="29" t="s">
        <v>33</v>
      </c>
      <c r="C14" s="39"/>
      <c r="D14" s="4">
        <f t="shared" ref="D14:H14" si="4">D8*$C$4</f>
        <v>350</v>
      </c>
      <c r="E14" s="4">
        <f t="shared" si="4"/>
        <v>150</v>
      </c>
      <c r="F14" s="4">
        <f t="shared" si="4"/>
        <v>25</v>
      </c>
      <c r="G14" s="4">
        <f t="shared" si="4"/>
        <v>0</v>
      </c>
      <c r="H14" s="4">
        <f t="shared" si="4"/>
        <v>300</v>
      </c>
      <c r="I14" s="4"/>
      <c r="J14" s="4"/>
      <c r="K14" s="4"/>
      <c r="L14" s="4"/>
      <c r="M14" s="4"/>
    </row>
    <row r="15" spans="2:13" x14ac:dyDescent="0.25">
      <c r="B15" s="29" t="s">
        <v>98</v>
      </c>
      <c r="C15" s="39"/>
      <c r="D15" s="4">
        <f>$C$2*$G$2</f>
        <v>10</v>
      </c>
      <c r="E15" s="4">
        <f t="shared" ref="E15:H15" si="5">$C$2*$G$2</f>
        <v>10</v>
      </c>
      <c r="F15" s="4">
        <f t="shared" si="5"/>
        <v>10</v>
      </c>
      <c r="G15" s="4">
        <f t="shared" si="5"/>
        <v>10</v>
      </c>
      <c r="H15" s="4">
        <f t="shared" si="5"/>
        <v>10</v>
      </c>
    </row>
    <row r="16" spans="2:13" x14ac:dyDescent="0.25">
      <c r="B16" s="29" t="s">
        <v>97</v>
      </c>
      <c r="C16" s="4">
        <f>C2*G3</f>
        <v>250</v>
      </c>
      <c r="D16" s="38"/>
      <c r="E16" s="38"/>
      <c r="F16" s="38"/>
      <c r="G16" s="38"/>
      <c r="H16" s="38"/>
    </row>
    <row r="17" spans="2:8" x14ac:dyDescent="0.25">
      <c r="B17" s="50" t="s">
        <v>20</v>
      </c>
      <c r="C17" s="21">
        <f t="shared" ref="C17:H17" si="6">$G$4*C7</f>
        <v>0</v>
      </c>
      <c r="D17" s="21">
        <f t="shared" si="6"/>
        <v>1500</v>
      </c>
      <c r="E17" s="21">
        <f t="shared" si="6"/>
        <v>3500</v>
      </c>
      <c r="F17" s="21">
        <f t="shared" si="6"/>
        <v>4750</v>
      </c>
      <c r="G17" s="21">
        <f t="shared" si="6"/>
        <v>5000</v>
      </c>
      <c r="H17" s="21">
        <f t="shared" si="6"/>
        <v>2000</v>
      </c>
    </row>
    <row r="18" spans="2:8" ht="8.25" customHeight="1" x14ac:dyDescent="0.25">
      <c r="C18" s="4"/>
      <c r="D18" s="4"/>
      <c r="E18" s="4"/>
      <c r="F18" s="4"/>
      <c r="G18" s="4"/>
      <c r="H18" s="4"/>
    </row>
    <row r="19" spans="2:8" x14ac:dyDescent="0.25">
      <c r="B19" s="29" t="s">
        <v>23</v>
      </c>
      <c r="C19" s="8">
        <f>C9-C10-SUM(C13:C17)</f>
        <v>28750</v>
      </c>
      <c r="D19" s="8">
        <f t="shared" ref="D19:H19" si="7">D9-D10-SUM(D13:D17)</f>
        <v>38140</v>
      </c>
      <c r="E19" s="8">
        <f t="shared" si="7"/>
        <v>21340</v>
      </c>
      <c r="F19" s="8">
        <f t="shared" si="7"/>
        <v>215</v>
      </c>
      <c r="G19" s="8">
        <f t="shared" si="7"/>
        <v>-65010</v>
      </c>
      <c r="H19" s="8">
        <f t="shared" si="7"/>
        <v>-42310</v>
      </c>
    </row>
    <row r="20" spans="2:8" x14ac:dyDescent="0.25">
      <c r="B20" s="51" t="s">
        <v>24</v>
      </c>
      <c r="C20" s="22">
        <f>IRR(C19:H19)</f>
        <v>5.7118850937825316E-2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3695-F0E7-4B78-935F-8FD9FBE1ABBE}">
  <sheetPr>
    <tabColor rgb="FFFFFF00"/>
  </sheetPr>
  <dimension ref="A1:D29"/>
  <sheetViews>
    <sheetView showGridLines="0" zoomScale="81" workbookViewId="0">
      <selection activeCell="A21" sqref="A21"/>
    </sheetView>
  </sheetViews>
  <sheetFormatPr defaultRowHeight="15" x14ac:dyDescent="0.25"/>
  <cols>
    <col min="2" max="2" width="10.140625" bestFit="1" customWidth="1"/>
    <col min="3" max="5" width="9.140625" bestFit="1" customWidth="1"/>
  </cols>
  <sheetData>
    <row r="1" spans="1:3" x14ac:dyDescent="0.25">
      <c r="A1" s="54" t="s">
        <v>79</v>
      </c>
    </row>
    <row r="2" spans="1:3" x14ac:dyDescent="0.25">
      <c r="A2" s="52" t="s">
        <v>80</v>
      </c>
      <c r="B2" s="52" t="s">
        <v>81</v>
      </c>
    </row>
    <row r="3" spans="1:3" x14ac:dyDescent="0.25">
      <c r="A3" s="52" t="s">
        <v>82</v>
      </c>
      <c r="B3" s="45">
        <v>1.2E-2</v>
      </c>
    </row>
    <row r="4" spans="1:3" x14ac:dyDescent="0.25">
      <c r="A4" s="52" t="s">
        <v>83</v>
      </c>
      <c r="B4" s="45">
        <v>1.6E-2</v>
      </c>
    </row>
    <row r="5" spans="1:3" x14ac:dyDescent="0.25">
      <c r="A5" s="52" t="s">
        <v>84</v>
      </c>
      <c r="B5" s="45">
        <v>2.1999999999999999E-2</v>
      </c>
    </row>
    <row r="6" spans="1:3" x14ac:dyDescent="0.25">
      <c r="A6" s="52" t="s">
        <v>85</v>
      </c>
      <c r="B6" s="45">
        <v>2.5000000000000001E-2</v>
      </c>
    </row>
    <row r="7" spans="1:3" x14ac:dyDescent="0.25">
      <c r="A7" s="52" t="s">
        <v>86</v>
      </c>
      <c r="B7" s="45">
        <v>0.03</v>
      </c>
    </row>
    <row r="8" spans="1:3" x14ac:dyDescent="0.25">
      <c r="A8" s="52" t="s">
        <v>87</v>
      </c>
      <c r="B8" s="45">
        <v>3.5000000000000003E-2</v>
      </c>
    </row>
    <row r="9" spans="1:3" x14ac:dyDescent="0.25">
      <c r="A9" s="52" t="s">
        <v>88</v>
      </c>
      <c r="B9" s="45">
        <v>3.5999999999999997E-2</v>
      </c>
    </row>
    <row r="10" spans="1:3" x14ac:dyDescent="0.25">
      <c r="A10" s="52" t="s">
        <v>89</v>
      </c>
      <c r="B10" s="45">
        <v>3.6999999999999998E-2</v>
      </c>
    </row>
    <row r="11" spans="1:3" x14ac:dyDescent="0.25">
      <c r="A11" s="52" t="s">
        <v>90</v>
      </c>
      <c r="B11" s="45">
        <v>3.9E-2</v>
      </c>
    </row>
    <row r="12" spans="1:3" x14ac:dyDescent="0.25">
      <c r="A12" s="52" t="s">
        <v>91</v>
      </c>
      <c r="B12" s="45">
        <v>3.6999999999999998E-2</v>
      </c>
    </row>
    <row r="13" spans="1:3" x14ac:dyDescent="0.25">
      <c r="A13" s="52" t="s">
        <v>92</v>
      </c>
      <c r="B13" s="45">
        <v>3.5999999999999997E-2</v>
      </c>
    </row>
    <row r="14" spans="1:3" x14ac:dyDescent="0.25">
      <c r="B14" s="46"/>
    </row>
    <row r="15" spans="1:3" x14ac:dyDescent="0.25">
      <c r="B15" s="53">
        <v>1.7000000000000001E-2</v>
      </c>
      <c r="C15" s="53">
        <v>4.0000000000000001E-3</v>
      </c>
    </row>
    <row r="16" spans="1:3" x14ac:dyDescent="0.25">
      <c r="B16" s="47"/>
      <c r="C16" s="47"/>
    </row>
    <row r="17" spans="1:4" x14ac:dyDescent="0.25">
      <c r="B17" s="47"/>
      <c r="C17" s="47"/>
    </row>
    <row r="18" spans="1:4" x14ac:dyDescent="0.25">
      <c r="B18" s="47"/>
      <c r="C18" s="47"/>
    </row>
    <row r="19" spans="1:4" x14ac:dyDescent="0.25">
      <c r="B19" s="47"/>
      <c r="C19" s="47"/>
    </row>
    <row r="20" spans="1:4" x14ac:dyDescent="0.25">
      <c r="A20" s="54" t="s">
        <v>19</v>
      </c>
    </row>
    <row r="21" spans="1:4" x14ac:dyDescent="0.25">
      <c r="A21" s="52" t="s">
        <v>93</v>
      </c>
      <c r="B21" s="52" t="s">
        <v>94</v>
      </c>
      <c r="C21" s="52" t="s">
        <v>95</v>
      </c>
      <c r="D21" s="52" t="s">
        <v>96</v>
      </c>
    </row>
    <row r="22" spans="1:4" x14ac:dyDescent="0.25">
      <c r="A22" s="48">
        <v>1.038E-2</v>
      </c>
      <c r="B22" s="48">
        <f>A22+0.001</f>
        <v>1.1380000000000001E-2</v>
      </c>
      <c r="C22" s="48">
        <f t="shared" ref="C22:D22" si="0">B22+0.001</f>
        <v>1.2380000000000002E-2</v>
      </c>
      <c r="D22" s="48">
        <f t="shared" si="0"/>
        <v>1.3380000000000003E-2</v>
      </c>
    </row>
    <row r="23" spans="1:4" x14ac:dyDescent="0.25">
      <c r="A23" s="48">
        <v>9.7099999999999999E-3</v>
      </c>
      <c r="B23" s="48">
        <f>A23+0.002</f>
        <v>1.171E-2</v>
      </c>
      <c r="C23" s="48">
        <f t="shared" ref="C23:D23" si="1">B23+0.002</f>
        <v>1.371E-2</v>
      </c>
      <c r="D23" s="48">
        <f t="shared" si="1"/>
        <v>1.5710000000000002E-2</v>
      </c>
    </row>
    <row r="24" spans="1:4" x14ac:dyDescent="0.25">
      <c r="A24" s="48">
        <v>8.3000000000000001E-3</v>
      </c>
      <c r="B24" s="48">
        <f>A24+0.003</f>
        <v>1.1300000000000001E-2</v>
      </c>
      <c r="C24" s="48">
        <f t="shared" ref="C24:D24" si="2">B24+0.003</f>
        <v>1.43E-2</v>
      </c>
      <c r="D24" s="48">
        <f t="shared" si="2"/>
        <v>1.7299999999999999E-2</v>
      </c>
    </row>
    <row r="25" spans="1:4" x14ac:dyDescent="0.25">
      <c r="A25" s="48">
        <v>8.0200000000000011E-3</v>
      </c>
      <c r="B25" s="48">
        <f>A25+0.001</f>
        <v>9.0200000000000002E-3</v>
      </c>
      <c r="C25" s="48">
        <f t="shared" ref="C25" si="3">B25+0.001</f>
        <v>1.0020000000000001E-2</v>
      </c>
      <c r="D25" s="48">
        <f>C25+0.004</f>
        <v>1.4020000000000001E-2</v>
      </c>
    </row>
    <row r="26" spans="1:4" x14ac:dyDescent="0.25">
      <c r="A26" s="48">
        <v>7.6800000000000002E-3</v>
      </c>
      <c r="B26" s="48">
        <f>A26+0.0015</f>
        <v>9.1800000000000007E-3</v>
      </c>
      <c r="C26" s="48">
        <f t="shared" ref="C26:D26" si="4">B26+0.0015</f>
        <v>1.068E-2</v>
      </c>
      <c r="D26" s="48">
        <f t="shared" si="4"/>
        <v>1.218E-2</v>
      </c>
    </row>
    <row r="27" spans="1:4" x14ac:dyDescent="0.25">
      <c r="A27" s="48">
        <v>5.8699999999999994E-3</v>
      </c>
      <c r="B27" s="48">
        <f>A27+0.0018</f>
        <v>7.6699999999999997E-3</v>
      </c>
      <c r="C27" s="48">
        <f t="shared" ref="C27:D27" si="5">B27+0.0018</f>
        <v>9.4699999999999993E-3</v>
      </c>
      <c r="D27" s="48">
        <f t="shared" si="5"/>
        <v>1.1269999999999999E-2</v>
      </c>
    </row>
    <row r="28" spans="1:4" x14ac:dyDescent="0.25">
      <c r="A28" s="48">
        <v>1.14E-3</v>
      </c>
      <c r="B28" s="48">
        <f>A28+0.002</f>
        <v>3.14E-3</v>
      </c>
      <c r="C28" s="48">
        <f t="shared" ref="C28:D28" si="6">B28+0.002</f>
        <v>5.1400000000000005E-3</v>
      </c>
      <c r="D28" s="48">
        <f t="shared" si="6"/>
        <v>7.1400000000000005E-3</v>
      </c>
    </row>
    <row r="29" spans="1:4" x14ac:dyDescent="0.25">
      <c r="A29" s="48">
        <v>8.4000000000000003E-4</v>
      </c>
      <c r="B29" s="48">
        <f>A29+0.001</f>
        <v>1.8400000000000001E-3</v>
      </c>
      <c r="C29" s="48">
        <f t="shared" ref="C29:D29" si="7">B29+0.001</f>
        <v>2.8400000000000001E-3</v>
      </c>
      <c r="D29" s="48">
        <f t="shared" si="7"/>
        <v>3.8400000000000001E-3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G16"/>
  <sheetViews>
    <sheetView showGridLines="0" zoomScale="130" zoomScaleNormal="130" workbookViewId="0"/>
  </sheetViews>
  <sheetFormatPr defaultColWidth="9.140625" defaultRowHeight="15" outlineLevelCol="1" x14ac:dyDescent="0.25"/>
  <cols>
    <col min="1" max="1" width="9.140625" style="4"/>
    <col min="2" max="3" width="17.85546875" style="4" hidden="1" customWidth="1" outlineLevel="1"/>
    <col min="4" max="4" width="9.140625" style="4" collapsed="1"/>
    <col min="5" max="5" width="9.140625" style="4"/>
    <col min="6" max="6" width="3.7109375" style="4" bestFit="1" customWidth="1"/>
    <col min="7" max="7" width="23" style="4" bestFit="1" customWidth="1"/>
    <col min="8" max="8" width="9.140625" style="4"/>
    <col min="9" max="9" width="9.5703125" style="4" bestFit="1" customWidth="1"/>
    <col min="10" max="11" width="9.140625" style="4"/>
    <col min="12" max="14" width="9.140625" style="4" customWidth="1"/>
    <col min="15" max="30" width="9.140625" style="4" hidden="1" customWidth="1" outlineLevel="1"/>
    <col min="31" max="31" width="14.28515625" style="4" customWidth="1" collapsed="1"/>
    <col min="32" max="16384" width="9.140625" style="4"/>
  </cols>
  <sheetData>
    <row r="1" spans="1:33" x14ac:dyDescent="0.25">
      <c r="A1" s="41">
        <v>1</v>
      </c>
      <c r="B1" s="31" t="s">
        <v>22</v>
      </c>
      <c r="C1" s="31" t="s">
        <v>42</v>
      </c>
      <c r="G1" s="6" t="str">
        <f>IF($A$1=1,B1,C1)</f>
        <v>Periodo</v>
      </c>
      <c r="H1" s="31">
        <v>0</v>
      </c>
      <c r="I1" s="6">
        <f>H1+1</f>
        <v>1</v>
      </c>
      <c r="J1" s="6">
        <f t="shared" ref="J1:K1" si="0">I1+1</f>
        <v>2</v>
      </c>
      <c r="K1" s="6">
        <f t="shared" si="0"/>
        <v>3</v>
      </c>
      <c r="L1" s="6">
        <f>K1+1</f>
        <v>4</v>
      </c>
      <c r="M1" s="6">
        <f t="shared" ref="M1:AG1" si="1">L1+1</f>
        <v>5</v>
      </c>
      <c r="N1" s="6">
        <f t="shared" si="1"/>
        <v>6</v>
      </c>
      <c r="O1" s="6">
        <f t="shared" si="1"/>
        <v>7</v>
      </c>
      <c r="P1" s="6">
        <f t="shared" si="1"/>
        <v>8</v>
      </c>
      <c r="Q1" s="6">
        <f t="shared" si="1"/>
        <v>9</v>
      </c>
      <c r="R1" s="6">
        <f t="shared" si="1"/>
        <v>10</v>
      </c>
      <c r="S1" s="6">
        <f t="shared" si="1"/>
        <v>11</v>
      </c>
      <c r="T1" s="6">
        <f t="shared" si="1"/>
        <v>12</v>
      </c>
      <c r="U1" s="6">
        <f t="shared" si="1"/>
        <v>13</v>
      </c>
      <c r="V1" s="6">
        <f t="shared" si="1"/>
        <v>14</v>
      </c>
      <c r="W1" s="6">
        <f t="shared" si="1"/>
        <v>15</v>
      </c>
      <c r="X1" s="6">
        <f t="shared" si="1"/>
        <v>16</v>
      </c>
      <c r="Y1" s="6">
        <f t="shared" si="1"/>
        <v>17</v>
      </c>
      <c r="Z1" s="6">
        <f t="shared" si="1"/>
        <v>18</v>
      </c>
      <c r="AA1" s="6">
        <f t="shared" si="1"/>
        <v>19</v>
      </c>
      <c r="AB1" s="6">
        <f t="shared" si="1"/>
        <v>20</v>
      </c>
      <c r="AC1" s="6">
        <f t="shared" si="1"/>
        <v>21</v>
      </c>
      <c r="AD1" s="6">
        <f t="shared" si="1"/>
        <v>22</v>
      </c>
      <c r="AE1" s="6">
        <f t="shared" si="1"/>
        <v>23</v>
      </c>
      <c r="AF1" s="6">
        <f t="shared" si="1"/>
        <v>24</v>
      </c>
      <c r="AG1" s="6">
        <f t="shared" si="1"/>
        <v>25</v>
      </c>
    </row>
    <row r="2" spans="1:33" x14ac:dyDescent="0.25">
      <c r="B2" s="32" t="s">
        <v>50</v>
      </c>
      <c r="C2" s="32" t="s">
        <v>62</v>
      </c>
      <c r="F2" s="32" t="s">
        <v>25</v>
      </c>
      <c r="G2" s="4" t="str">
        <f t="shared" ref="G2:G16" si="2">IF($A$1=1,B2,C2)</f>
        <v>Valore di Mercato</v>
      </c>
      <c r="H2" s="32">
        <v>10000</v>
      </c>
      <c r="I2" s="4">
        <f>H2</f>
        <v>10000</v>
      </c>
      <c r="J2" s="4">
        <f t="shared" ref="J2:AG3" si="3">I2</f>
        <v>10000</v>
      </c>
      <c r="K2" s="4">
        <f t="shared" si="3"/>
        <v>10000</v>
      </c>
      <c r="L2" s="4">
        <f t="shared" si="3"/>
        <v>10000</v>
      </c>
      <c r="M2" s="4">
        <f t="shared" si="3"/>
        <v>10000</v>
      </c>
      <c r="N2" s="4">
        <f t="shared" si="3"/>
        <v>10000</v>
      </c>
      <c r="O2" s="4">
        <f t="shared" si="3"/>
        <v>10000</v>
      </c>
      <c r="P2" s="4">
        <f t="shared" si="3"/>
        <v>10000</v>
      </c>
      <c r="Q2" s="4">
        <f t="shared" si="3"/>
        <v>10000</v>
      </c>
      <c r="R2" s="4">
        <f t="shared" si="3"/>
        <v>10000</v>
      </c>
      <c r="S2" s="4">
        <f t="shared" si="3"/>
        <v>10000</v>
      </c>
      <c r="T2" s="4">
        <f t="shared" si="3"/>
        <v>10000</v>
      </c>
      <c r="U2" s="4">
        <f t="shared" si="3"/>
        <v>10000</v>
      </c>
      <c r="V2" s="4">
        <f t="shared" si="3"/>
        <v>10000</v>
      </c>
      <c r="W2" s="4">
        <f t="shared" si="3"/>
        <v>10000</v>
      </c>
      <c r="X2" s="4">
        <f t="shared" si="3"/>
        <v>10000</v>
      </c>
      <c r="Y2" s="4">
        <f t="shared" si="3"/>
        <v>10000</v>
      </c>
      <c r="Z2" s="4">
        <f t="shared" si="3"/>
        <v>10000</v>
      </c>
      <c r="AA2" s="4">
        <f t="shared" si="3"/>
        <v>10000</v>
      </c>
      <c r="AB2" s="4">
        <f t="shared" si="3"/>
        <v>10000</v>
      </c>
      <c r="AC2" s="4">
        <f t="shared" si="3"/>
        <v>10000</v>
      </c>
      <c r="AD2" s="4">
        <f t="shared" si="3"/>
        <v>10000</v>
      </c>
      <c r="AE2" s="4">
        <f t="shared" si="3"/>
        <v>10000</v>
      </c>
      <c r="AF2" s="4">
        <f t="shared" si="3"/>
        <v>10000</v>
      </c>
      <c r="AG2" s="4">
        <f t="shared" si="3"/>
        <v>10000</v>
      </c>
    </row>
    <row r="3" spans="1:33" x14ac:dyDescent="0.25">
      <c r="B3" s="32" t="s">
        <v>51</v>
      </c>
      <c r="C3" s="32" t="s">
        <v>63</v>
      </c>
      <c r="E3" s="30">
        <v>7.0000000000000007E-2</v>
      </c>
      <c r="F3" s="30" t="s">
        <v>26</v>
      </c>
      <c r="G3" s="4" t="str">
        <f t="shared" si="2"/>
        <v>Flusso Immobiliare</v>
      </c>
      <c r="H3" s="32">
        <v>600</v>
      </c>
      <c r="I3" s="4">
        <f>H3</f>
        <v>600</v>
      </c>
      <c r="J3" s="4">
        <f t="shared" si="3"/>
        <v>600</v>
      </c>
      <c r="K3" s="4">
        <f t="shared" si="3"/>
        <v>600</v>
      </c>
      <c r="L3" s="4">
        <f t="shared" si="3"/>
        <v>600</v>
      </c>
      <c r="M3" s="4">
        <f t="shared" si="3"/>
        <v>600</v>
      </c>
      <c r="N3" s="4">
        <f t="shared" si="3"/>
        <v>600</v>
      </c>
      <c r="O3" s="4">
        <f t="shared" si="3"/>
        <v>600</v>
      </c>
      <c r="P3" s="4">
        <f t="shared" si="3"/>
        <v>600</v>
      </c>
      <c r="Q3" s="4">
        <f t="shared" si="3"/>
        <v>600</v>
      </c>
      <c r="R3" s="4">
        <f t="shared" si="3"/>
        <v>600</v>
      </c>
      <c r="S3" s="4">
        <f t="shared" si="3"/>
        <v>600</v>
      </c>
      <c r="T3" s="4">
        <f t="shared" si="3"/>
        <v>600</v>
      </c>
      <c r="U3" s="4">
        <f t="shared" si="3"/>
        <v>600</v>
      </c>
      <c r="V3" s="4">
        <f t="shared" si="3"/>
        <v>600</v>
      </c>
      <c r="W3" s="4">
        <f t="shared" si="3"/>
        <v>600</v>
      </c>
      <c r="X3" s="4">
        <f t="shared" si="3"/>
        <v>600</v>
      </c>
      <c r="Y3" s="4">
        <f t="shared" si="3"/>
        <v>600</v>
      </c>
      <c r="Z3" s="4">
        <f t="shared" si="3"/>
        <v>600</v>
      </c>
      <c r="AA3" s="4">
        <f t="shared" si="3"/>
        <v>600</v>
      </c>
      <c r="AB3" s="4">
        <f t="shared" si="3"/>
        <v>600</v>
      </c>
      <c r="AC3" s="4">
        <f t="shared" si="3"/>
        <v>600</v>
      </c>
      <c r="AD3" s="4">
        <f t="shared" si="3"/>
        <v>600</v>
      </c>
      <c r="AE3" s="4">
        <f t="shared" si="3"/>
        <v>600</v>
      </c>
      <c r="AF3" s="4">
        <f t="shared" si="3"/>
        <v>600</v>
      </c>
      <c r="AG3" s="4">
        <f t="shared" si="3"/>
        <v>600</v>
      </c>
    </row>
    <row r="4" spans="1:33" x14ac:dyDescent="0.25">
      <c r="B4" s="7"/>
      <c r="C4" s="7"/>
      <c r="G4" s="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x14ac:dyDescent="0.25">
      <c r="B5" s="32" t="s">
        <v>101</v>
      </c>
      <c r="C5" s="32" t="s">
        <v>102</v>
      </c>
      <c r="G5" s="4" t="str">
        <f t="shared" si="2"/>
        <v>Finanziamento Iniziale</v>
      </c>
      <c r="I5" s="4">
        <f>H8</f>
        <v>7000</v>
      </c>
      <c r="J5" s="4">
        <f t="shared" ref="J5:AG5" si="4">I8</f>
        <v>6720</v>
      </c>
      <c r="K5" s="4">
        <f t="shared" si="4"/>
        <v>6440</v>
      </c>
      <c r="L5" s="4">
        <f t="shared" si="4"/>
        <v>6160</v>
      </c>
      <c r="M5" s="4">
        <f t="shared" si="4"/>
        <v>5880</v>
      </c>
      <c r="N5" s="4">
        <f t="shared" si="4"/>
        <v>5600</v>
      </c>
      <c r="O5" s="4">
        <f t="shared" si="4"/>
        <v>5320</v>
      </c>
      <c r="P5" s="4">
        <f t="shared" si="4"/>
        <v>5040</v>
      </c>
      <c r="Q5" s="4">
        <f t="shared" si="4"/>
        <v>4760</v>
      </c>
      <c r="R5" s="4">
        <f t="shared" si="4"/>
        <v>4480</v>
      </c>
      <c r="S5" s="4">
        <f t="shared" si="4"/>
        <v>4200</v>
      </c>
      <c r="T5" s="4">
        <f t="shared" si="4"/>
        <v>3920</v>
      </c>
      <c r="U5" s="4">
        <f t="shared" si="4"/>
        <v>3640</v>
      </c>
      <c r="V5" s="4">
        <f t="shared" si="4"/>
        <v>3360</v>
      </c>
      <c r="W5" s="4">
        <f t="shared" si="4"/>
        <v>3080</v>
      </c>
      <c r="X5" s="4">
        <f t="shared" si="4"/>
        <v>2800</v>
      </c>
      <c r="Y5" s="4">
        <f t="shared" si="4"/>
        <v>2520</v>
      </c>
      <c r="Z5" s="4">
        <f t="shared" si="4"/>
        <v>2240</v>
      </c>
      <c r="AA5" s="4">
        <f t="shared" si="4"/>
        <v>1960</v>
      </c>
      <c r="AB5" s="4">
        <f t="shared" si="4"/>
        <v>1680</v>
      </c>
      <c r="AC5" s="4">
        <f t="shared" si="4"/>
        <v>1400</v>
      </c>
      <c r="AD5" s="4">
        <f t="shared" si="4"/>
        <v>1120</v>
      </c>
      <c r="AE5" s="4">
        <f t="shared" si="4"/>
        <v>840</v>
      </c>
      <c r="AF5" s="4">
        <f t="shared" si="4"/>
        <v>560</v>
      </c>
      <c r="AG5" s="4">
        <f t="shared" si="4"/>
        <v>280</v>
      </c>
    </row>
    <row r="6" spans="1:33" x14ac:dyDescent="0.25">
      <c r="B6" s="32" t="s">
        <v>1</v>
      </c>
      <c r="C6" s="32" t="s">
        <v>35</v>
      </c>
      <c r="E6" s="30">
        <v>0.7</v>
      </c>
      <c r="F6" s="3"/>
      <c r="G6" s="4" t="str">
        <f t="shared" si="2"/>
        <v>Erogazione</v>
      </c>
      <c r="H6" s="4">
        <f>H2*E6</f>
        <v>7000</v>
      </c>
    </row>
    <row r="7" spans="1:33" x14ac:dyDescent="0.25">
      <c r="B7" s="32" t="s">
        <v>15</v>
      </c>
      <c r="C7" s="32" t="s">
        <v>71</v>
      </c>
      <c r="E7" s="32">
        <v>25</v>
      </c>
      <c r="F7" s="2"/>
      <c r="G7" s="4" t="str">
        <f t="shared" si="2"/>
        <v>Rimborso</v>
      </c>
      <c r="I7" s="4">
        <f t="shared" ref="I7:AG7" si="5">IF($E$7&lt;I1,0,$H$6/$E$7)</f>
        <v>280</v>
      </c>
      <c r="J7" s="4">
        <f t="shared" si="5"/>
        <v>280</v>
      </c>
      <c r="K7" s="4">
        <f t="shared" si="5"/>
        <v>280</v>
      </c>
      <c r="L7" s="4">
        <f t="shared" si="5"/>
        <v>280</v>
      </c>
      <c r="M7" s="4">
        <f t="shared" si="5"/>
        <v>280</v>
      </c>
      <c r="N7" s="4">
        <f t="shared" si="5"/>
        <v>280</v>
      </c>
      <c r="O7" s="4">
        <f t="shared" si="5"/>
        <v>280</v>
      </c>
      <c r="P7" s="4">
        <f t="shared" si="5"/>
        <v>280</v>
      </c>
      <c r="Q7" s="4">
        <f t="shared" si="5"/>
        <v>280</v>
      </c>
      <c r="R7" s="4">
        <f t="shared" si="5"/>
        <v>280</v>
      </c>
      <c r="S7" s="4">
        <f t="shared" si="5"/>
        <v>280</v>
      </c>
      <c r="T7" s="4">
        <f t="shared" si="5"/>
        <v>280</v>
      </c>
      <c r="U7" s="4">
        <f t="shared" si="5"/>
        <v>280</v>
      </c>
      <c r="V7" s="4">
        <f t="shared" si="5"/>
        <v>280</v>
      </c>
      <c r="W7" s="4">
        <f t="shared" si="5"/>
        <v>280</v>
      </c>
      <c r="X7" s="4">
        <f t="shared" si="5"/>
        <v>280</v>
      </c>
      <c r="Y7" s="4">
        <f t="shared" si="5"/>
        <v>280</v>
      </c>
      <c r="Z7" s="4">
        <f t="shared" si="5"/>
        <v>280</v>
      </c>
      <c r="AA7" s="4">
        <f t="shared" si="5"/>
        <v>280</v>
      </c>
      <c r="AB7" s="4">
        <f t="shared" si="5"/>
        <v>280</v>
      </c>
      <c r="AC7" s="4">
        <f t="shared" si="5"/>
        <v>280</v>
      </c>
      <c r="AD7" s="4">
        <f t="shared" si="5"/>
        <v>280</v>
      </c>
      <c r="AE7" s="4">
        <f t="shared" si="5"/>
        <v>280</v>
      </c>
      <c r="AF7" s="4">
        <f t="shared" si="5"/>
        <v>280</v>
      </c>
      <c r="AG7" s="4">
        <f t="shared" si="5"/>
        <v>280</v>
      </c>
    </row>
    <row r="8" spans="1:33" x14ac:dyDescent="0.25">
      <c r="B8" s="32" t="s">
        <v>103</v>
      </c>
      <c r="C8" s="32" t="s">
        <v>104</v>
      </c>
      <c r="F8" s="32" t="s">
        <v>27</v>
      </c>
      <c r="G8" s="4" t="str">
        <f t="shared" si="2"/>
        <v>Finanziamento Finale</v>
      </c>
      <c r="H8" s="4">
        <f>H5+H6-H7</f>
        <v>7000</v>
      </c>
      <c r="I8" s="4">
        <f>I5+I6-I7</f>
        <v>6720</v>
      </c>
      <c r="J8" s="4">
        <f t="shared" ref="J8:AG8" si="6">J5+J6-J7</f>
        <v>6440</v>
      </c>
      <c r="K8" s="4">
        <f t="shared" si="6"/>
        <v>6160</v>
      </c>
      <c r="L8" s="4">
        <f t="shared" si="6"/>
        <v>5880</v>
      </c>
      <c r="M8" s="4">
        <f t="shared" si="6"/>
        <v>5600</v>
      </c>
      <c r="N8" s="4">
        <f t="shared" si="6"/>
        <v>5320</v>
      </c>
      <c r="O8" s="4">
        <f t="shared" si="6"/>
        <v>5040</v>
      </c>
      <c r="P8" s="4">
        <f t="shared" si="6"/>
        <v>4760</v>
      </c>
      <c r="Q8" s="4">
        <f t="shared" si="6"/>
        <v>4480</v>
      </c>
      <c r="R8" s="4">
        <f t="shared" si="6"/>
        <v>4200</v>
      </c>
      <c r="S8" s="4">
        <f t="shared" si="6"/>
        <v>3920</v>
      </c>
      <c r="T8" s="4">
        <f t="shared" si="6"/>
        <v>3640</v>
      </c>
      <c r="U8" s="4">
        <f t="shared" si="6"/>
        <v>3360</v>
      </c>
      <c r="V8" s="4">
        <f t="shared" si="6"/>
        <v>3080</v>
      </c>
      <c r="W8" s="4">
        <f t="shared" si="6"/>
        <v>2800</v>
      </c>
      <c r="X8" s="4">
        <f t="shared" si="6"/>
        <v>2520</v>
      </c>
      <c r="Y8" s="4">
        <f t="shared" si="6"/>
        <v>2240</v>
      </c>
      <c r="Z8" s="4">
        <f t="shared" si="6"/>
        <v>1960</v>
      </c>
      <c r="AA8" s="4">
        <f t="shared" si="6"/>
        <v>1680</v>
      </c>
      <c r="AB8" s="4">
        <f t="shared" si="6"/>
        <v>1400</v>
      </c>
      <c r="AC8" s="4">
        <f t="shared" si="6"/>
        <v>1120</v>
      </c>
      <c r="AD8" s="4">
        <f t="shared" si="6"/>
        <v>840</v>
      </c>
      <c r="AE8" s="4">
        <f t="shared" si="6"/>
        <v>560</v>
      </c>
      <c r="AF8" s="4">
        <f t="shared" si="6"/>
        <v>280</v>
      </c>
      <c r="AG8" s="4">
        <f t="shared" si="6"/>
        <v>0</v>
      </c>
    </row>
    <row r="10" spans="1:33" x14ac:dyDescent="0.25">
      <c r="B10" s="27" t="s">
        <v>53</v>
      </c>
      <c r="C10" s="27" t="s">
        <v>53</v>
      </c>
      <c r="E10" s="30">
        <v>0.6</v>
      </c>
      <c r="F10" s="30" t="s">
        <v>52</v>
      </c>
      <c r="G10" s="4" t="str">
        <f t="shared" si="2"/>
        <v>LTVR</v>
      </c>
      <c r="H10" s="19">
        <f>H8/H2</f>
        <v>0.7</v>
      </c>
      <c r="I10" s="19">
        <f>I8/I2</f>
        <v>0.67200000000000004</v>
      </c>
      <c r="J10" s="19">
        <f t="shared" ref="J10:AG10" si="7">IF(J13=0,"",J8/J2)</f>
        <v>0.64400000000000002</v>
      </c>
      <c r="K10" s="19">
        <f t="shared" si="7"/>
        <v>0.61599999999999999</v>
      </c>
      <c r="L10" s="19">
        <f t="shared" si="7"/>
        <v>0.58799999999999997</v>
      </c>
      <c r="M10" s="19">
        <f t="shared" si="7"/>
        <v>0.56000000000000005</v>
      </c>
      <c r="N10" s="19">
        <f t="shared" si="7"/>
        <v>0.53200000000000003</v>
      </c>
      <c r="O10" s="19">
        <f t="shared" si="7"/>
        <v>0.504</v>
      </c>
      <c r="P10" s="19">
        <f t="shared" si="7"/>
        <v>0.47599999999999998</v>
      </c>
      <c r="Q10" s="19">
        <f t="shared" si="7"/>
        <v>0.44800000000000001</v>
      </c>
      <c r="R10" s="19">
        <f t="shared" si="7"/>
        <v>0.42</v>
      </c>
      <c r="S10" s="19">
        <f t="shared" si="7"/>
        <v>0.39200000000000002</v>
      </c>
      <c r="T10" s="19">
        <f t="shared" si="7"/>
        <v>0.36399999999999999</v>
      </c>
      <c r="U10" s="19">
        <f t="shared" si="7"/>
        <v>0.33600000000000002</v>
      </c>
      <c r="V10" s="19">
        <f t="shared" si="7"/>
        <v>0.308</v>
      </c>
      <c r="W10" s="19">
        <f t="shared" si="7"/>
        <v>0.28000000000000003</v>
      </c>
      <c r="X10" s="19">
        <f t="shared" si="7"/>
        <v>0.252</v>
      </c>
      <c r="Y10" s="19">
        <f t="shared" si="7"/>
        <v>0.224</v>
      </c>
      <c r="Z10" s="19">
        <f t="shared" si="7"/>
        <v>0.19600000000000001</v>
      </c>
      <c r="AA10" s="19">
        <f t="shared" si="7"/>
        <v>0.16800000000000001</v>
      </c>
      <c r="AB10" s="19">
        <f t="shared" si="7"/>
        <v>0.14000000000000001</v>
      </c>
      <c r="AC10" s="19">
        <f t="shared" si="7"/>
        <v>0.112</v>
      </c>
      <c r="AD10" s="19">
        <f t="shared" si="7"/>
        <v>8.4000000000000005E-2</v>
      </c>
      <c r="AE10" s="19">
        <f t="shared" si="7"/>
        <v>5.6000000000000001E-2</v>
      </c>
      <c r="AF10" s="19">
        <f t="shared" si="7"/>
        <v>2.8000000000000001E-2</v>
      </c>
      <c r="AG10" s="19">
        <f t="shared" si="7"/>
        <v>0</v>
      </c>
    </row>
    <row r="11" spans="1:33" x14ac:dyDescent="0.25">
      <c r="B11" s="32" t="s">
        <v>54</v>
      </c>
      <c r="C11" s="32" t="s">
        <v>41</v>
      </c>
      <c r="E11" s="30">
        <v>0.05</v>
      </c>
      <c r="F11" s="3"/>
      <c r="G11" s="4" t="str">
        <f t="shared" si="2"/>
        <v>Tasso Applicato</v>
      </c>
      <c r="I11" s="19">
        <f t="shared" ref="I11:AG11" si="8">IF(I10&lt;$E$10,$E$11,$E$12)</f>
        <v>0.06</v>
      </c>
      <c r="J11" s="19">
        <f t="shared" si="8"/>
        <v>0.06</v>
      </c>
      <c r="K11" s="19">
        <f t="shared" si="8"/>
        <v>0.06</v>
      </c>
      <c r="L11" s="19">
        <f t="shared" si="8"/>
        <v>0.05</v>
      </c>
      <c r="M11" s="19">
        <f t="shared" si="8"/>
        <v>0.05</v>
      </c>
      <c r="N11" s="19">
        <f t="shared" si="8"/>
        <v>0.05</v>
      </c>
      <c r="O11" s="19">
        <f t="shared" si="8"/>
        <v>0.05</v>
      </c>
      <c r="P11" s="19">
        <f t="shared" si="8"/>
        <v>0.05</v>
      </c>
      <c r="Q11" s="19">
        <f t="shared" si="8"/>
        <v>0.05</v>
      </c>
      <c r="R11" s="19">
        <f t="shared" si="8"/>
        <v>0.05</v>
      </c>
      <c r="S11" s="19">
        <f t="shared" si="8"/>
        <v>0.05</v>
      </c>
      <c r="T11" s="19">
        <f t="shared" si="8"/>
        <v>0.05</v>
      </c>
      <c r="U11" s="19">
        <f t="shared" si="8"/>
        <v>0.05</v>
      </c>
      <c r="V11" s="19">
        <f t="shared" si="8"/>
        <v>0.05</v>
      </c>
      <c r="W11" s="19">
        <f t="shared" si="8"/>
        <v>0.05</v>
      </c>
      <c r="X11" s="19">
        <f t="shared" si="8"/>
        <v>0.05</v>
      </c>
      <c r="Y11" s="19">
        <f t="shared" si="8"/>
        <v>0.05</v>
      </c>
      <c r="Z11" s="19">
        <f t="shared" si="8"/>
        <v>0.05</v>
      </c>
      <c r="AA11" s="19">
        <f t="shared" si="8"/>
        <v>0.05</v>
      </c>
      <c r="AB11" s="19">
        <f t="shared" si="8"/>
        <v>0.05</v>
      </c>
      <c r="AC11" s="19">
        <f t="shared" si="8"/>
        <v>0.05</v>
      </c>
      <c r="AD11" s="19">
        <f t="shared" si="8"/>
        <v>0.05</v>
      </c>
      <c r="AE11" s="19">
        <f t="shared" si="8"/>
        <v>0.05</v>
      </c>
      <c r="AF11" s="19">
        <f t="shared" si="8"/>
        <v>0.05</v>
      </c>
      <c r="AG11" s="19">
        <f t="shared" si="8"/>
        <v>0.05</v>
      </c>
    </row>
    <row r="12" spans="1:33" x14ac:dyDescent="0.25">
      <c r="B12" s="32" t="s">
        <v>55</v>
      </c>
      <c r="C12" s="32" t="s">
        <v>47</v>
      </c>
      <c r="E12" s="30">
        <v>0.06</v>
      </c>
      <c r="F12" s="30" t="s">
        <v>28</v>
      </c>
      <c r="G12" s="4" t="str">
        <f t="shared" si="2"/>
        <v>Oneri Finanziari</v>
      </c>
      <c r="I12" s="4">
        <f>IF(I10&gt;E10,E11*I5,E12*I5)</f>
        <v>350</v>
      </c>
      <c r="J12" s="4">
        <f t="shared" ref="J12:AG12" si="9">J5*$E$11</f>
        <v>336</v>
      </c>
      <c r="K12" s="4">
        <f t="shared" si="9"/>
        <v>322</v>
      </c>
      <c r="L12" s="4">
        <f t="shared" si="9"/>
        <v>308</v>
      </c>
      <c r="M12" s="4">
        <f t="shared" si="9"/>
        <v>294</v>
      </c>
      <c r="N12" s="4">
        <f t="shared" si="9"/>
        <v>280</v>
      </c>
      <c r="O12" s="4">
        <f t="shared" si="9"/>
        <v>266</v>
      </c>
      <c r="P12" s="4">
        <f t="shared" si="9"/>
        <v>252</v>
      </c>
      <c r="Q12" s="4">
        <f t="shared" si="9"/>
        <v>238</v>
      </c>
      <c r="R12" s="4">
        <f t="shared" si="9"/>
        <v>224</v>
      </c>
      <c r="S12" s="4">
        <f t="shared" si="9"/>
        <v>210</v>
      </c>
      <c r="T12" s="4">
        <f t="shared" si="9"/>
        <v>196</v>
      </c>
      <c r="U12" s="4">
        <f t="shared" si="9"/>
        <v>182</v>
      </c>
      <c r="V12" s="4">
        <f t="shared" si="9"/>
        <v>168</v>
      </c>
      <c r="W12" s="4">
        <f t="shared" si="9"/>
        <v>154</v>
      </c>
      <c r="X12" s="4">
        <f t="shared" si="9"/>
        <v>140</v>
      </c>
      <c r="Y12" s="4">
        <f t="shared" si="9"/>
        <v>126</v>
      </c>
      <c r="Z12" s="4">
        <f t="shared" si="9"/>
        <v>112</v>
      </c>
      <c r="AA12" s="4">
        <f t="shared" si="9"/>
        <v>98</v>
      </c>
      <c r="AB12" s="4">
        <f t="shared" si="9"/>
        <v>84</v>
      </c>
      <c r="AC12" s="4">
        <f t="shared" si="9"/>
        <v>70</v>
      </c>
      <c r="AD12" s="4">
        <f t="shared" si="9"/>
        <v>56</v>
      </c>
      <c r="AE12" s="4">
        <f t="shared" si="9"/>
        <v>42</v>
      </c>
      <c r="AF12" s="4">
        <f t="shared" si="9"/>
        <v>28</v>
      </c>
      <c r="AG12" s="4">
        <f t="shared" si="9"/>
        <v>14</v>
      </c>
    </row>
    <row r="13" spans="1:33" x14ac:dyDescent="0.25">
      <c r="B13" s="32" t="s">
        <v>56</v>
      </c>
      <c r="C13" s="32" t="s">
        <v>64</v>
      </c>
      <c r="F13" s="32" t="s">
        <v>29</v>
      </c>
      <c r="G13" s="4" t="str">
        <f t="shared" si="2"/>
        <v>Servizio debito</v>
      </c>
      <c r="I13" s="4">
        <f t="shared" ref="I13:AG13" si="10">I7+I12</f>
        <v>630</v>
      </c>
      <c r="J13" s="4">
        <f t="shared" si="10"/>
        <v>616</v>
      </c>
      <c r="K13" s="4">
        <f t="shared" si="10"/>
        <v>602</v>
      </c>
      <c r="L13" s="4">
        <f t="shared" si="10"/>
        <v>588</v>
      </c>
      <c r="M13" s="4">
        <f t="shared" si="10"/>
        <v>574</v>
      </c>
      <c r="N13" s="4">
        <f t="shared" si="10"/>
        <v>560</v>
      </c>
      <c r="O13" s="4">
        <f t="shared" si="10"/>
        <v>546</v>
      </c>
      <c r="P13" s="4">
        <f t="shared" si="10"/>
        <v>532</v>
      </c>
      <c r="Q13" s="4">
        <f t="shared" si="10"/>
        <v>518</v>
      </c>
      <c r="R13" s="4">
        <f t="shared" si="10"/>
        <v>504</v>
      </c>
      <c r="S13" s="4">
        <f t="shared" si="10"/>
        <v>490</v>
      </c>
      <c r="T13" s="4">
        <f t="shared" si="10"/>
        <v>476</v>
      </c>
      <c r="U13" s="4">
        <f t="shared" si="10"/>
        <v>462</v>
      </c>
      <c r="V13" s="4">
        <f t="shared" si="10"/>
        <v>448</v>
      </c>
      <c r="W13" s="4">
        <f t="shared" si="10"/>
        <v>434</v>
      </c>
      <c r="X13" s="4">
        <f t="shared" si="10"/>
        <v>420</v>
      </c>
      <c r="Y13" s="4">
        <f t="shared" si="10"/>
        <v>406</v>
      </c>
      <c r="Z13" s="4">
        <f t="shared" si="10"/>
        <v>392</v>
      </c>
      <c r="AA13" s="4">
        <f t="shared" si="10"/>
        <v>378</v>
      </c>
      <c r="AB13" s="4">
        <f t="shared" si="10"/>
        <v>364</v>
      </c>
      <c r="AC13" s="4">
        <f t="shared" si="10"/>
        <v>350</v>
      </c>
      <c r="AD13" s="4">
        <f t="shared" si="10"/>
        <v>336</v>
      </c>
      <c r="AE13" s="4">
        <f t="shared" si="10"/>
        <v>322</v>
      </c>
      <c r="AF13" s="4">
        <f t="shared" si="10"/>
        <v>308</v>
      </c>
      <c r="AG13" s="4">
        <f t="shared" si="10"/>
        <v>294</v>
      </c>
    </row>
    <row r="14" spans="1:33" x14ac:dyDescent="0.25">
      <c r="B14" s="27" t="s">
        <v>58</v>
      </c>
      <c r="C14" s="27" t="s">
        <v>58</v>
      </c>
      <c r="F14" s="32" t="s">
        <v>57</v>
      </c>
      <c r="G14" s="4" t="str">
        <f t="shared" si="2"/>
        <v>ICR</v>
      </c>
      <c r="H14" s="19"/>
      <c r="I14" s="19">
        <f t="shared" ref="I14:AG14" si="11">IF(I13=0,"",I3/I12)</f>
        <v>1.7142857142857142</v>
      </c>
      <c r="J14" s="19">
        <f t="shared" si="11"/>
        <v>1.7857142857142858</v>
      </c>
      <c r="K14" s="19">
        <f t="shared" si="11"/>
        <v>1.8633540372670807</v>
      </c>
      <c r="L14" s="19">
        <f t="shared" si="11"/>
        <v>1.948051948051948</v>
      </c>
      <c r="M14" s="19">
        <f t="shared" si="11"/>
        <v>2.0408163265306123</v>
      </c>
      <c r="N14" s="19">
        <f t="shared" si="11"/>
        <v>2.1428571428571428</v>
      </c>
      <c r="O14" s="19">
        <f t="shared" si="11"/>
        <v>2.255639097744361</v>
      </c>
      <c r="P14" s="19">
        <f t="shared" si="11"/>
        <v>2.3809523809523809</v>
      </c>
      <c r="Q14" s="19">
        <f t="shared" si="11"/>
        <v>2.5210084033613445</v>
      </c>
      <c r="R14" s="19">
        <f t="shared" si="11"/>
        <v>2.6785714285714284</v>
      </c>
      <c r="S14" s="19">
        <f t="shared" si="11"/>
        <v>2.8571428571428572</v>
      </c>
      <c r="T14" s="19">
        <f t="shared" si="11"/>
        <v>3.0612244897959182</v>
      </c>
      <c r="U14" s="19">
        <f t="shared" si="11"/>
        <v>3.2967032967032965</v>
      </c>
      <c r="V14" s="19">
        <f t="shared" si="11"/>
        <v>3.5714285714285716</v>
      </c>
      <c r="W14" s="19">
        <f t="shared" si="11"/>
        <v>3.8961038961038961</v>
      </c>
      <c r="X14" s="19">
        <f t="shared" si="11"/>
        <v>4.2857142857142856</v>
      </c>
      <c r="Y14" s="19">
        <f t="shared" si="11"/>
        <v>4.7619047619047619</v>
      </c>
      <c r="Z14" s="19">
        <f t="shared" si="11"/>
        <v>5.3571428571428568</v>
      </c>
      <c r="AA14" s="19">
        <f t="shared" si="11"/>
        <v>6.1224489795918364</v>
      </c>
      <c r="AB14" s="19">
        <f t="shared" si="11"/>
        <v>7.1428571428571432</v>
      </c>
      <c r="AC14" s="19">
        <f t="shared" si="11"/>
        <v>8.5714285714285712</v>
      </c>
      <c r="AD14" s="19">
        <f t="shared" si="11"/>
        <v>10.714285714285714</v>
      </c>
      <c r="AE14" s="19">
        <f t="shared" si="11"/>
        <v>14.285714285714286</v>
      </c>
      <c r="AF14" s="19">
        <f t="shared" si="11"/>
        <v>21.428571428571427</v>
      </c>
      <c r="AG14" s="19">
        <f t="shared" si="11"/>
        <v>42.857142857142854</v>
      </c>
    </row>
    <row r="15" spans="1:33" x14ac:dyDescent="0.25">
      <c r="B15" s="27" t="s">
        <v>60</v>
      </c>
      <c r="C15" s="27" t="s">
        <v>60</v>
      </c>
      <c r="F15" s="32" t="s">
        <v>59</v>
      </c>
      <c r="G15" s="4" t="str">
        <f t="shared" si="2"/>
        <v>DSCR</v>
      </c>
      <c r="H15" s="19"/>
      <c r="I15" s="19">
        <f t="shared" ref="I15:AG15" si="12">IF(I13=0,"",I3/I13)</f>
        <v>0.95238095238095233</v>
      </c>
      <c r="J15" s="19">
        <f t="shared" si="12"/>
        <v>0.97402597402597402</v>
      </c>
      <c r="K15" s="19">
        <f t="shared" si="12"/>
        <v>0.99667774086378735</v>
      </c>
      <c r="L15" s="19">
        <f t="shared" si="12"/>
        <v>1.0204081632653061</v>
      </c>
      <c r="M15" s="19">
        <f t="shared" si="12"/>
        <v>1.0452961672473868</v>
      </c>
      <c r="N15" s="19">
        <f t="shared" si="12"/>
        <v>1.0714285714285714</v>
      </c>
      <c r="O15" s="19">
        <f t="shared" si="12"/>
        <v>1.098901098901099</v>
      </c>
      <c r="P15" s="19">
        <f t="shared" si="12"/>
        <v>1.1278195488721805</v>
      </c>
      <c r="Q15" s="19">
        <f t="shared" si="12"/>
        <v>1.1583011583011582</v>
      </c>
      <c r="R15" s="19">
        <f t="shared" si="12"/>
        <v>1.1904761904761905</v>
      </c>
      <c r="S15" s="19">
        <f t="shared" si="12"/>
        <v>1.2244897959183674</v>
      </c>
      <c r="T15" s="19">
        <f t="shared" si="12"/>
        <v>1.2605042016806722</v>
      </c>
      <c r="U15" s="19">
        <f t="shared" si="12"/>
        <v>1.2987012987012987</v>
      </c>
      <c r="V15" s="19">
        <f t="shared" si="12"/>
        <v>1.3392857142857142</v>
      </c>
      <c r="W15" s="19">
        <f t="shared" si="12"/>
        <v>1.3824884792626728</v>
      </c>
      <c r="X15" s="19">
        <f t="shared" si="12"/>
        <v>1.4285714285714286</v>
      </c>
      <c r="Y15" s="19">
        <f t="shared" si="12"/>
        <v>1.4778325123152709</v>
      </c>
      <c r="Z15" s="19">
        <f t="shared" si="12"/>
        <v>1.5306122448979591</v>
      </c>
      <c r="AA15" s="19">
        <f t="shared" si="12"/>
        <v>1.5873015873015872</v>
      </c>
      <c r="AB15" s="19">
        <f t="shared" si="12"/>
        <v>1.6483516483516483</v>
      </c>
      <c r="AC15" s="19">
        <f t="shared" si="12"/>
        <v>1.7142857142857142</v>
      </c>
      <c r="AD15" s="19">
        <f t="shared" si="12"/>
        <v>1.7857142857142858</v>
      </c>
      <c r="AE15" s="19">
        <f t="shared" si="12"/>
        <v>1.8633540372670807</v>
      </c>
      <c r="AF15" s="19">
        <f t="shared" si="12"/>
        <v>1.948051948051948</v>
      </c>
      <c r="AG15" s="19">
        <f t="shared" si="12"/>
        <v>2.0408163265306123</v>
      </c>
    </row>
    <row r="16" spans="1:33" x14ac:dyDescent="0.25">
      <c r="B16" s="29" t="s">
        <v>77</v>
      </c>
      <c r="C16" s="29" t="s">
        <v>77</v>
      </c>
      <c r="F16" s="32" t="s">
        <v>61</v>
      </c>
      <c r="G16" s="8" t="str">
        <f t="shared" si="2"/>
        <v xml:space="preserve">Yield on Debt </v>
      </c>
      <c r="H16" s="42">
        <f>H3/H8</f>
        <v>8.5714285714285715E-2</v>
      </c>
      <c r="I16" s="42">
        <f t="shared" ref="I16:AF16" si="13">IF(I13=0,"",I3/I8)</f>
        <v>8.9285714285714288E-2</v>
      </c>
      <c r="J16" s="42">
        <f t="shared" si="13"/>
        <v>9.3167701863354033E-2</v>
      </c>
      <c r="K16" s="42">
        <f t="shared" si="13"/>
        <v>9.7402597402597407E-2</v>
      </c>
      <c r="L16" s="42">
        <f t="shared" si="13"/>
        <v>0.10204081632653061</v>
      </c>
      <c r="M16" s="42">
        <f t="shared" si="13"/>
        <v>0.10714285714285714</v>
      </c>
      <c r="N16" s="42">
        <f t="shared" si="13"/>
        <v>0.11278195488721804</v>
      </c>
      <c r="O16" s="42">
        <f t="shared" si="13"/>
        <v>0.11904761904761904</v>
      </c>
      <c r="P16" s="42">
        <f t="shared" si="13"/>
        <v>0.12605042016806722</v>
      </c>
      <c r="Q16" s="42">
        <f t="shared" si="13"/>
        <v>0.13392857142857142</v>
      </c>
      <c r="R16" s="42">
        <f t="shared" si="13"/>
        <v>0.14285714285714285</v>
      </c>
      <c r="S16" s="42">
        <f t="shared" si="13"/>
        <v>0.15306122448979592</v>
      </c>
      <c r="T16" s="42">
        <f t="shared" si="13"/>
        <v>0.16483516483516483</v>
      </c>
      <c r="U16" s="42">
        <f t="shared" si="13"/>
        <v>0.17857142857142858</v>
      </c>
      <c r="V16" s="42">
        <f t="shared" si="13"/>
        <v>0.19480519480519481</v>
      </c>
      <c r="W16" s="42">
        <f t="shared" si="13"/>
        <v>0.21428571428571427</v>
      </c>
      <c r="X16" s="42">
        <f t="shared" si="13"/>
        <v>0.23809523809523808</v>
      </c>
      <c r="Y16" s="42">
        <f t="shared" si="13"/>
        <v>0.26785714285714285</v>
      </c>
      <c r="Z16" s="42">
        <f t="shared" si="13"/>
        <v>0.30612244897959184</v>
      </c>
      <c r="AA16" s="42">
        <f t="shared" si="13"/>
        <v>0.35714285714285715</v>
      </c>
      <c r="AB16" s="42">
        <f t="shared" si="13"/>
        <v>0.42857142857142855</v>
      </c>
      <c r="AC16" s="42">
        <f t="shared" si="13"/>
        <v>0.5357142857142857</v>
      </c>
      <c r="AD16" s="42">
        <f t="shared" si="13"/>
        <v>0.7142857142857143</v>
      </c>
      <c r="AE16" s="42">
        <f t="shared" si="13"/>
        <v>1.0714285714285714</v>
      </c>
      <c r="AF16" s="42">
        <f t="shared" si="13"/>
        <v>2.1428571428571428</v>
      </c>
      <c r="AG16" s="19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</sheetPr>
  <dimension ref="A1:P19"/>
  <sheetViews>
    <sheetView showGridLines="0" topLeftCell="D1" workbookViewId="0">
      <selection activeCell="D1" sqref="D1"/>
    </sheetView>
  </sheetViews>
  <sheetFormatPr defaultColWidth="9.140625" defaultRowHeight="15" outlineLevelRow="1" outlineLevelCol="1" x14ac:dyDescent="0.25"/>
  <cols>
    <col min="1" max="1" width="0" style="1" hidden="1" customWidth="1" outlineLevel="1"/>
    <col min="2" max="2" width="26.28515625" style="1" hidden="1" customWidth="1" outlineLevel="1"/>
    <col min="3" max="3" width="0" style="1" hidden="1" customWidth="1" outlineLevel="1"/>
    <col min="4" max="4" width="32.140625" style="14" bestFit="1" customWidth="1" collapsed="1"/>
    <col min="5" max="7" width="6.7109375" style="12" customWidth="1"/>
    <col min="8" max="11" width="5.7109375" style="12" bestFit="1" customWidth="1"/>
    <col min="12" max="12" width="0.42578125" style="12" customWidth="1"/>
    <col min="13" max="13" width="4.5703125" style="12" bestFit="1" customWidth="1"/>
    <col min="14" max="16" width="6.7109375" style="12" customWidth="1"/>
    <col min="17" max="16384" width="9.140625" style="1"/>
  </cols>
  <sheetData>
    <row r="1" spans="1:16" outlineLevel="1" x14ac:dyDescent="0.25">
      <c r="A1" s="27">
        <v>1</v>
      </c>
      <c r="B1" s="34" t="s">
        <v>6</v>
      </c>
      <c r="C1" s="34" t="s">
        <v>6</v>
      </c>
      <c r="D1" s="14" t="str">
        <f t="shared" ref="D1:D8" si="0">IF($A$1=1,B1,C1)</f>
        <v>Numero Immobili</v>
      </c>
      <c r="E1" s="36">
        <v>10</v>
      </c>
    </row>
    <row r="2" spans="1:16" outlineLevel="1" x14ac:dyDescent="0.25">
      <c r="B2" s="34" t="s">
        <v>7</v>
      </c>
      <c r="C2" s="34" t="s">
        <v>7</v>
      </c>
      <c r="D2" s="14" t="str">
        <f t="shared" si="0"/>
        <v>Valore Unitario</v>
      </c>
      <c r="E2" s="36">
        <v>100</v>
      </c>
    </row>
    <row r="3" spans="1:16" outlineLevel="1" x14ac:dyDescent="0.25">
      <c r="B3" s="34" t="s">
        <v>8</v>
      </c>
      <c r="C3" s="34" t="s">
        <v>8</v>
      </c>
      <c r="D3" s="14" t="str">
        <f t="shared" si="0"/>
        <v>Valore del Portafoglio</v>
      </c>
      <c r="E3" s="13">
        <f>E1*E2</f>
        <v>1000</v>
      </c>
      <c r="F3" s="13"/>
      <c r="G3" s="13"/>
      <c r="H3" s="13"/>
    </row>
    <row r="4" spans="1:16" outlineLevel="1" x14ac:dyDescent="0.25">
      <c r="B4" s="34" t="s">
        <v>10</v>
      </c>
      <c r="C4" s="34" t="s">
        <v>10</v>
      </c>
      <c r="D4" s="14" t="str">
        <f t="shared" si="0"/>
        <v>LTV</v>
      </c>
      <c r="E4" s="43">
        <v>0.6</v>
      </c>
      <c r="F4" s="13"/>
      <c r="G4" s="13"/>
      <c r="H4" s="13"/>
    </row>
    <row r="5" spans="1:16" outlineLevel="1" x14ac:dyDescent="0.25">
      <c r="B5" s="34" t="s">
        <v>9</v>
      </c>
      <c r="C5" s="34" t="s">
        <v>9</v>
      </c>
      <c r="D5" s="14" t="str">
        <f t="shared" si="0"/>
        <v>Finanziamento del Portafoglio</v>
      </c>
      <c r="E5" s="13">
        <f>E3*E4</f>
        <v>600</v>
      </c>
      <c r="F5" s="13"/>
      <c r="G5" s="13"/>
      <c r="H5" s="13"/>
    </row>
    <row r="6" spans="1:16" outlineLevel="1" x14ac:dyDescent="0.25">
      <c r="B6" s="34" t="s">
        <v>11</v>
      </c>
      <c r="C6" s="34" t="s">
        <v>11</v>
      </c>
      <c r="D6" s="14" t="str">
        <f t="shared" si="0"/>
        <v>ALA singolo immobile</v>
      </c>
      <c r="E6" s="13">
        <f>E2*E4</f>
        <v>60</v>
      </c>
      <c r="F6" s="13"/>
      <c r="G6" s="13"/>
      <c r="H6" s="13"/>
    </row>
    <row r="7" spans="1:16" outlineLevel="1" x14ac:dyDescent="0.25">
      <c r="B7" s="34" t="s">
        <v>13</v>
      </c>
      <c r="C7" s="34" t="s">
        <v>13</v>
      </c>
      <c r="D7" s="14" t="str">
        <f t="shared" si="0"/>
        <v>Release factor %</v>
      </c>
      <c r="E7" s="43">
        <v>1.4</v>
      </c>
      <c r="F7" s="13"/>
      <c r="G7" s="13"/>
      <c r="H7" s="13"/>
    </row>
    <row r="8" spans="1:16" outlineLevel="1" x14ac:dyDescent="0.25">
      <c r="B8" s="34" t="s">
        <v>12</v>
      </c>
      <c r="C8" s="34" t="s">
        <v>12</v>
      </c>
      <c r="D8" s="14" t="str">
        <f t="shared" si="0"/>
        <v>Release factor</v>
      </c>
      <c r="E8" s="13">
        <f>E7*E6</f>
        <v>84</v>
      </c>
      <c r="F8" s="13"/>
      <c r="G8" s="13"/>
      <c r="H8" s="13"/>
      <c r="I8" s="55"/>
    </row>
    <row r="9" spans="1:16" x14ac:dyDescent="0.25">
      <c r="B9" s="14"/>
      <c r="C9" s="14"/>
      <c r="E9" s="13"/>
      <c r="F9" s="13"/>
      <c r="G9" s="13"/>
      <c r="H9" s="13"/>
    </row>
    <row r="10" spans="1:16" ht="15.75" thickBot="1" x14ac:dyDescent="0.3">
      <c r="B10" s="37" t="s">
        <v>14</v>
      </c>
      <c r="C10" s="37" t="s">
        <v>37</v>
      </c>
      <c r="D10" s="16" t="str">
        <f t="shared" ref="D10:D17" si="1">IF($A$1=1,B10,C10)</f>
        <v>Sequenza Vendita</v>
      </c>
      <c r="E10" s="44">
        <v>0</v>
      </c>
      <c r="F10" s="17">
        <f>E10+1</f>
        <v>1</v>
      </c>
      <c r="G10" s="17">
        <f t="shared" ref="G10:P10" si="2">F10+1</f>
        <v>2</v>
      </c>
      <c r="H10" s="17">
        <f t="shared" si="2"/>
        <v>3</v>
      </c>
      <c r="I10" s="17">
        <f t="shared" si="2"/>
        <v>4</v>
      </c>
      <c r="J10" s="17">
        <f t="shared" si="2"/>
        <v>5</v>
      </c>
      <c r="K10" s="17">
        <f t="shared" si="2"/>
        <v>6</v>
      </c>
      <c r="L10" s="17"/>
      <c r="M10" s="17">
        <f>K10+1</f>
        <v>7</v>
      </c>
      <c r="N10" s="17">
        <f t="shared" si="2"/>
        <v>8</v>
      </c>
      <c r="O10" s="17">
        <f t="shared" si="2"/>
        <v>9</v>
      </c>
      <c r="P10" s="17">
        <f t="shared" si="2"/>
        <v>10</v>
      </c>
    </row>
    <row r="11" spans="1:16" ht="15.75" thickTop="1" x14ac:dyDescent="0.25">
      <c r="B11" s="34" t="s">
        <v>18</v>
      </c>
      <c r="C11" s="34" t="s">
        <v>38</v>
      </c>
      <c r="D11" s="14" t="str">
        <f t="shared" si="1"/>
        <v>Valore Portafoglio Iniziale</v>
      </c>
      <c r="E11" s="13">
        <f>E3</f>
        <v>1000</v>
      </c>
      <c r="F11" s="13">
        <f>E16</f>
        <v>1000</v>
      </c>
      <c r="G11" s="13">
        <f t="shared" ref="G11:P11" si="3">F16</f>
        <v>900</v>
      </c>
      <c r="H11" s="13">
        <f t="shared" si="3"/>
        <v>800</v>
      </c>
      <c r="I11" s="13">
        <f t="shared" si="3"/>
        <v>700</v>
      </c>
      <c r="J11" s="13">
        <f t="shared" si="3"/>
        <v>600</v>
      </c>
      <c r="K11" s="13">
        <f t="shared" si="3"/>
        <v>500</v>
      </c>
      <c r="L11" s="13"/>
      <c r="M11" s="13">
        <f>K16</f>
        <v>400</v>
      </c>
      <c r="N11" s="13">
        <f t="shared" si="3"/>
        <v>300</v>
      </c>
      <c r="O11" s="13">
        <f t="shared" si="3"/>
        <v>200</v>
      </c>
      <c r="P11" s="13">
        <f t="shared" si="3"/>
        <v>100</v>
      </c>
    </row>
    <row r="12" spans="1:16" x14ac:dyDescent="0.25">
      <c r="B12" s="34" t="s">
        <v>16</v>
      </c>
      <c r="C12" s="34" t="s">
        <v>40</v>
      </c>
      <c r="D12" s="14" t="str">
        <f t="shared" si="1"/>
        <v>Vendita</v>
      </c>
      <c r="E12" s="13"/>
      <c r="F12" s="13">
        <f t="shared" ref="F12:P12" si="4">IF($E$1&lt;F10,0,$E$2)</f>
        <v>100</v>
      </c>
      <c r="G12" s="13">
        <f t="shared" si="4"/>
        <v>100</v>
      </c>
      <c r="H12" s="13">
        <f t="shared" si="4"/>
        <v>100</v>
      </c>
      <c r="I12" s="13">
        <f t="shared" si="4"/>
        <v>100</v>
      </c>
      <c r="J12" s="13">
        <f t="shared" si="4"/>
        <v>100</v>
      </c>
      <c r="K12" s="13">
        <f t="shared" si="4"/>
        <v>100</v>
      </c>
      <c r="L12" s="13"/>
      <c r="M12" s="13">
        <f t="shared" si="4"/>
        <v>100</v>
      </c>
      <c r="N12" s="13">
        <f t="shared" si="4"/>
        <v>100</v>
      </c>
      <c r="O12" s="13">
        <f t="shared" si="4"/>
        <v>100</v>
      </c>
      <c r="P12" s="13">
        <f t="shared" si="4"/>
        <v>100</v>
      </c>
    </row>
    <row r="13" spans="1:16" x14ac:dyDescent="0.25">
      <c r="B13" s="34" t="s">
        <v>0</v>
      </c>
      <c r="C13" s="34" t="s">
        <v>34</v>
      </c>
      <c r="D13" s="14" t="str">
        <f t="shared" si="1"/>
        <v>Debito Iniziale</v>
      </c>
      <c r="E13" s="13">
        <f>E5</f>
        <v>600</v>
      </c>
      <c r="F13" s="13">
        <f>E15</f>
        <v>600</v>
      </c>
      <c r="G13" s="13">
        <f t="shared" ref="G13:P13" si="5">F15</f>
        <v>516</v>
      </c>
      <c r="H13" s="13">
        <f t="shared" si="5"/>
        <v>432</v>
      </c>
      <c r="I13" s="13">
        <f t="shared" si="5"/>
        <v>348</v>
      </c>
      <c r="J13" s="13">
        <f t="shared" si="5"/>
        <v>264</v>
      </c>
      <c r="K13" s="13">
        <f t="shared" si="5"/>
        <v>180</v>
      </c>
      <c r="L13" s="13"/>
      <c r="M13" s="13">
        <f>K15</f>
        <v>96</v>
      </c>
      <c r="N13" s="13">
        <f t="shared" si="5"/>
        <v>12</v>
      </c>
      <c r="O13" s="13">
        <f t="shared" si="5"/>
        <v>0</v>
      </c>
      <c r="P13" s="13">
        <f t="shared" si="5"/>
        <v>0</v>
      </c>
    </row>
    <row r="14" spans="1:16" x14ac:dyDescent="0.25">
      <c r="B14" s="34" t="s">
        <v>78</v>
      </c>
      <c r="C14" s="34" t="s">
        <v>105</v>
      </c>
      <c r="D14" s="14" t="str">
        <f t="shared" si="1"/>
        <v>Rimborso (release price)</v>
      </c>
      <c r="E14" s="13"/>
      <c r="F14" s="13">
        <f t="shared" ref="F14:K14" si="6">IF(F13&gt;0,MIN($E$8,F13),0)</f>
        <v>84</v>
      </c>
      <c r="G14" s="13">
        <f t="shared" si="6"/>
        <v>84</v>
      </c>
      <c r="H14" s="13">
        <f t="shared" si="6"/>
        <v>84</v>
      </c>
      <c r="I14" s="13">
        <f t="shared" si="6"/>
        <v>84</v>
      </c>
      <c r="J14" s="13">
        <f t="shared" si="6"/>
        <v>84</v>
      </c>
      <c r="K14" s="13">
        <f t="shared" si="6"/>
        <v>84</v>
      </c>
      <c r="L14" s="13"/>
      <c r="M14" s="13">
        <f>IF(M13&gt;0,MIN($E$8,M13),0)</f>
        <v>84</v>
      </c>
      <c r="N14" s="13">
        <f>IF(N13&gt;0,MIN($E$8,N13),0)</f>
        <v>12</v>
      </c>
      <c r="O14" s="13">
        <f>IF(O13&gt;0,MIN($E$8,O13),0)</f>
        <v>0</v>
      </c>
      <c r="P14" s="13">
        <f>IF(P13&gt;0,MIN($E$8,P13),0)</f>
        <v>0</v>
      </c>
    </row>
    <row r="15" spans="1:16" x14ac:dyDescent="0.25">
      <c r="B15" s="34" t="s">
        <v>3</v>
      </c>
      <c r="C15" s="34" t="s">
        <v>36</v>
      </c>
      <c r="D15" s="14" t="str">
        <f t="shared" si="1"/>
        <v>Debito Finale</v>
      </c>
      <c r="E15" s="13">
        <f>E13-E14</f>
        <v>600</v>
      </c>
      <c r="F15" s="13">
        <f>F13-F14</f>
        <v>516</v>
      </c>
      <c r="G15" s="13">
        <f t="shared" ref="G15:P15" si="7">G13-G14</f>
        <v>432</v>
      </c>
      <c r="H15" s="13">
        <f t="shared" si="7"/>
        <v>348</v>
      </c>
      <c r="I15" s="13">
        <f t="shared" si="7"/>
        <v>264</v>
      </c>
      <c r="J15" s="13">
        <f t="shared" si="7"/>
        <v>180</v>
      </c>
      <c r="K15" s="13">
        <f t="shared" si="7"/>
        <v>96</v>
      </c>
      <c r="L15" s="13"/>
      <c r="M15" s="13">
        <f t="shared" si="7"/>
        <v>12</v>
      </c>
      <c r="N15" s="13">
        <f t="shared" si="7"/>
        <v>0</v>
      </c>
      <c r="O15" s="13">
        <f t="shared" si="7"/>
        <v>0</v>
      </c>
      <c r="P15" s="13">
        <f t="shared" si="7"/>
        <v>0</v>
      </c>
    </row>
    <row r="16" spans="1:16" x14ac:dyDescent="0.25">
      <c r="B16" s="34" t="s">
        <v>17</v>
      </c>
      <c r="C16" s="34" t="s">
        <v>39</v>
      </c>
      <c r="D16" s="14" t="str">
        <f t="shared" si="1"/>
        <v>Valore Portafoglio Finale</v>
      </c>
      <c r="E16" s="13">
        <f>E3</f>
        <v>1000</v>
      </c>
      <c r="F16" s="13">
        <f>E16-F12</f>
        <v>900</v>
      </c>
      <c r="G16" s="13">
        <f t="shared" ref="G16:P16" si="8">F16-G12</f>
        <v>800</v>
      </c>
      <c r="H16" s="13">
        <f t="shared" si="8"/>
        <v>700</v>
      </c>
      <c r="I16" s="13">
        <f t="shared" si="8"/>
        <v>600</v>
      </c>
      <c r="J16" s="13">
        <f t="shared" si="8"/>
        <v>500</v>
      </c>
      <c r="K16" s="13">
        <f t="shared" si="8"/>
        <v>400</v>
      </c>
      <c r="L16" s="13"/>
      <c r="M16" s="13">
        <f>K16-M12</f>
        <v>300</v>
      </c>
      <c r="N16" s="13">
        <f t="shared" si="8"/>
        <v>200</v>
      </c>
      <c r="O16" s="13">
        <f t="shared" si="8"/>
        <v>100</v>
      </c>
      <c r="P16" s="13">
        <f t="shared" si="8"/>
        <v>0</v>
      </c>
    </row>
    <row r="17" spans="2:16" x14ac:dyDescent="0.25">
      <c r="B17" s="35" t="s">
        <v>10</v>
      </c>
      <c r="C17" s="35" t="s">
        <v>10</v>
      </c>
      <c r="D17" s="15" t="str">
        <f t="shared" si="1"/>
        <v>LTV</v>
      </c>
      <c r="E17" s="18">
        <f>(IF(E15&gt;0,E15/E16,""))</f>
        <v>0.6</v>
      </c>
      <c r="F17" s="18">
        <f t="shared" ref="F17:P17" si="9">(IF(F15&gt;0,F15/F16,""))</f>
        <v>0.57333333333333336</v>
      </c>
      <c r="G17" s="18">
        <f t="shared" si="9"/>
        <v>0.54</v>
      </c>
      <c r="H17" s="18">
        <f t="shared" si="9"/>
        <v>0.49714285714285716</v>
      </c>
      <c r="I17" s="18">
        <f t="shared" si="9"/>
        <v>0.44</v>
      </c>
      <c r="J17" s="18">
        <f t="shared" si="9"/>
        <v>0.36</v>
      </c>
      <c r="K17" s="18">
        <f t="shared" si="9"/>
        <v>0.24</v>
      </c>
      <c r="L17" s="18"/>
      <c r="M17" s="18">
        <f t="shared" si="9"/>
        <v>0.04</v>
      </c>
      <c r="N17" s="18" t="str">
        <f t="shared" si="9"/>
        <v/>
      </c>
      <c r="O17" s="18" t="str">
        <f t="shared" si="9"/>
        <v/>
      </c>
      <c r="P17" s="18" t="str">
        <f t="shared" si="9"/>
        <v/>
      </c>
    </row>
    <row r="18" spans="2:16" ht="15.75" thickBot="1" x14ac:dyDescent="0.3">
      <c r="K18" s="17"/>
      <c r="L18" s="17"/>
      <c r="M18" s="17"/>
      <c r="N18" s="17"/>
    </row>
    <row r="19" spans="2:16" ht="15.75" thickTop="1" x14ac:dyDescent="0.25"/>
  </sheetData>
  <conditionalFormatting sqref="E17:P17">
    <cfRule type="dataBar" priority="1">
      <dataBar>
        <cfvo type="min"/>
        <cfvo type="max"/>
        <color rgb="FF008AEF"/>
      </dataBar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L50"/>
  <sheetViews>
    <sheetView showGridLines="0" topLeftCell="D1" zoomScale="70" zoomScaleNormal="70" workbookViewId="0">
      <selection activeCell="G16" sqref="G16"/>
    </sheetView>
  </sheetViews>
  <sheetFormatPr defaultColWidth="9.140625" defaultRowHeight="15" outlineLevelCol="1" x14ac:dyDescent="0.25"/>
  <cols>
    <col min="1" max="3" width="0" style="1" hidden="1" customWidth="1" outlineLevel="1"/>
    <col min="4" max="4" width="27.140625" style="1" customWidth="1" collapsed="1"/>
    <col min="5" max="5" width="9.42578125" style="1" bestFit="1" customWidth="1"/>
    <col min="6" max="6" width="11.7109375" style="1" bestFit="1" customWidth="1"/>
    <col min="7" max="7" width="12.28515625" style="1" bestFit="1" customWidth="1"/>
    <col min="8" max="10" width="11.7109375" style="1" bestFit="1" customWidth="1"/>
    <col min="11" max="16384" width="9.140625" style="1"/>
  </cols>
  <sheetData>
    <row r="1" spans="1:12" x14ac:dyDescent="0.25">
      <c r="A1" s="33">
        <v>1</v>
      </c>
    </row>
    <row r="3" spans="1:12" x14ac:dyDescent="0.25">
      <c r="B3" s="28" t="s">
        <v>73</v>
      </c>
      <c r="C3" s="28" t="s">
        <v>45</v>
      </c>
      <c r="D3" s="5" t="str">
        <f>IF($A$1=1,B3,C3)</f>
        <v>Bullet</v>
      </c>
      <c r="E3" s="30">
        <v>0.05</v>
      </c>
      <c r="F3" s="31">
        <v>1</v>
      </c>
      <c r="G3" s="31">
        <v>2</v>
      </c>
      <c r="H3" s="31">
        <v>3</v>
      </c>
      <c r="I3" s="31">
        <v>4</v>
      </c>
      <c r="J3" s="31">
        <v>5</v>
      </c>
    </row>
    <row r="4" spans="1:12" x14ac:dyDescent="0.25">
      <c r="B4" s="27" t="s">
        <v>0</v>
      </c>
      <c r="C4" s="27" t="s">
        <v>34</v>
      </c>
      <c r="D4" s="1" t="str">
        <f t="shared" ref="D4:D11" si="0">IF($A$1=1,B4,C4)</f>
        <v>Debito Iniziale</v>
      </c>
      <c r="E4" s="4"/>
      <c r="F4" s="4">
        <f>E10</f>
        <v>100000</v>
      </c>
      <c r="G4" s="4">
        <f t="shared" ref="G4:J4" si="1">F10</f>
        <v>100000</v>
      </c>
      <c r="H4" s="4">
        <f t="shared" si="1"/>
        <v>100000</v>
      </c>
      <c r="I4" s="4">
        <f t="shared" si="1"/>
        <v>100000</v>
      </c>
      <c r="J4" s="4">
        <f t="shared" si="1"/>
        <v>100000</v>
      </c>
    </row>
    <row r="5" spans="1:12" x14ac:dyDescent="0.25">
      <c r="B5" s="27" t="s">
        <v>1</v>
      </c>
      <c r="C5" s="27" t="s">
        <v>35</v>
      </c>
      <c r="D5" s="1" t="str">
        <f t="shared" si="0"/>
        <v>Erogazione</v>
      </c>
      <c r="E5" s="32">
        <v>100000</v>
      </c>
      <c r="F5" s="4"/>
      <c r="G5" s="4"/>
      <c r="H5" s="4"/>
      <c r="I5" s="4"/>
      <c r="J5" s="4"/>
    </row>
    <row r="6" spans="1:12" x14ac:dyDescent="0.25">
      <c r="B6" s="27" t="s">
        <v>4</v>
      </c>
      <c r="C6" s="27" t="s">
        <v>46</v>
      </c>
      <c r="D6" s="1" t="str">
        <f t="shared" si="0"/>
        <v>Oneri Finanziari maturati</v>
      </c>
      <c r="E6" s="4"/>
      <c r="F6" s="4">
        <f>F4*$E$3</f>
        <v>5000</v>
      </c>
      <c r="G6" s="4">
        <f t="shared" ref="G6:J6" si="2">G4*$E$3</f>
        <v>5000</v>
      </c>
      <c r="H6" s="4">
        <f t="shared" si="2"/>
        <v>5000</v>
      </c>
      <c r="I6" s="4">
        <f t="shared" si="2"/>
        <v>5000</v>
      </c>
      <c r="J6" s="4">
        <f t="shared" si="2"/>
        <v>5000</v>
      </c>
    </row>
    <row r="7" spans="1:12" s="7" customFormat="1" x14ac:dyDescent="0.25">
      <c r="B7" s="29" t="s">
        <v>5</v>
      </c>
      <c r="C7" s="29" t="s">
        <v>47</v>
      </c>
      <c r="D7" s="7" t="str">
        <f t="shared" si="0"/>
        <v>Oneri Finanziari pagati</v>
      </c>
      <c r="E7" s="8"/>
      <c r="F7" s="8">
        <f>F6</f>
        <v>5000</v>
      </c>
      <c r="G7" s="8">
        <f>G6</f>
        <v>5000</v>
      </c>
      <c r="H7" s="8">
        <f>H6</f>
        <v>5000</v>
      </c>
      <c r="I7" s="8">
        <f>I6</f>
        <v>5000</v>
      </c>
      <c r="J7" s="8">
        <f>J6</f>
        <v>5000</v>
      </c>
    </row>
    <row r="8" spans="1:12" s="7" customFormat="1" x14ac:dyDescent="0.25">
      <c r="B8" s="29" t="s">
        <v>2</v>
      </c>
      <c r="C8" s="29" t="s">
        <v>66</v>
      </c>
      <c r="D8" s="7" t="str">
        <f t="shared" si="0"/>
        <v>Rimborso Capitale</v>
      </c>
      <c r="E8" s="8"/>
      <c r="F8" s="8"/>
      <c r="G8" s="8"/>
      <c r="H8" s="8"/>
      <c r="I8" s="8"/>
      <c r="J8" s="8">
        <f>J4</f>
        <v>100000</v>
      </c>
    </row>
    <row r="9" spans="1:12" x14ac:dyDescent="0.25">
      <c r="B9" s="27" t="s">
        <v>44</v>
      </c>
      <c r="C9" s="27" t="s">
        <v>65</v>
      </c>
      <c r="D9" s="1" t="str">
        <f t="shared" si="0"/>
        <v>Servizio debito (Rata)</v>
      </c>
      <c r="E9" s="4"/>
      <c r="F9" s="4">
        <f>F8+F7</f>
        <v>5000</v>
      </c>
      <c r="G9" s="4">
        <f>G8+G7</f>
        <v>5000</v>
      </c>
      <c r="H9" s="4">
        <f>H8+H7</f>
        <v>5000</v>
      </c>
      <c r="I9" s="4">
        <f>I8+I7</f>
        <v>5000</v>
      </c>
      <c r="J9" s="4">
        <f>J8+J7</f>
        <v>105000</v>
      </c>
    </row>
    <row r="10" spans="1:12" x14ac:dyDescent="0.25">
      <c r="B10" s="27" t="s">
        <v>3</v>
      </c>
      <c r="C10" s="27" t="s">
        <v>36</v>
      </c>
      <c r="D10" s="1" t="str">
        <f t="shared" si="0"/>
        <v>Debito Finale</v>
      </c>
      <c r="E10" s="4">
        <f t="shared" ref="E10:J10" si="3">E4+E5-E8</f>
        <v>100000</v>
      </c>
      <c r="F10" s="4">
        <f t="shared" si="3"/>
        <v>100000</v>
      </c>
      <c r="G10" s="4">
        <f t="shared" si="3"/>
        <v>100000</v>
      </c>
      <c r="H10" s="4">
        <f t="shared" si="3"/>
        <v>100000</v>
      </c>
      <c r="I10" s="4">
        <f t="shared" si="3"/>
        <v>100000</v>
      </c>
      <c r="J10" s="4">
        <f t="shared" si="3"/>
        <v>0</v>
      </c>
    </row>
    <row r="11" spans="1:12" x14ac:dyDescent="0.25">
      <c r="B11" s="29" t="s">
        <v>107</v>
      </c>
      <c r="C11" s="29" t="s">
        <v>68</v>
      </c>
      <c r="D11" s="7" t="str">
        <f t="shared" si="0"/>
        <v>Pagamento periodico degli interessi e rimborso del 100% del capitale al termine del finanziamento.</v>
      </c>
      <c r="E11" s="4"/>
      <c r="F11" s="4"/>
      <c r="G11" s="4"/>
      <c r="H11" s="4"/>
      <c r="I11" s="4"/>
      <c r="J11" s="4"/>
      <c r="K11" s="11"/>
      <c r="L11" s="11"/>
    </row>
    <row r="12" spans="1:12" x14ac:dyDescent="0.25">
      <c r="E12" s="4"/>
    </row>
    <row r="13" spans="1:12" x14ac:dyDescent="0.25">
      <c r="E13" s="3"/>
      <c r="F13" s="6"/>
      <c r="G13" s="6"/>
      <c r="H13" s="6"/>
      <c r="I13" s="6"/>
      <c r="J13" s="6"/>
      <c r="K13" s="11"/>
      <c r="L13" s="11"/>
    </row>
    <row r="14" spans="1:12" x14ac:dyDescent="0.25">
      <c r="E14" s="4"/>
      <c r="F14" s="4"/>
      <c r="G14" s="4"/>
      <c r="H14" s="4"/>
      <c r="I14" s="4"/>
      <c r="J14" s="4"/>
      <c r="K14" s="11"/>
      <c r="L14" s="11"/>
    </row>
    <row r="15" spans="1:12" x14ac:dyDescent="0.25">
      <c r="E15" s="2"/>
      <c r="F15" s="4"/>
      <c r="G15" s="4"/>
      <c r="H15" s="4"/>
      <c r="I15" s="4"/>
      <c r="J15" s="4"/>
      <c r="K15" s="11"/>
      <c r="L15" s="11"/>
    </row>
    <row r="16" spans="1:12" x14ac:dyDescent="0.25">
      <c r="E16" s="4"/>
      <c r="F16" s="4"/>
      <c r="G16" s="4"/>
      <c r="H16" s="4"/>
      <c r="I16" s="4"/>
      <c r="J16" s="4"/>
      <c r="K16" s="11"/>
      <c r="L16" s="11"/>
    </row>
    <row r="17" spans="5:12" x14ac:dyDescent="0.25">
      <c r="E17" s="8"/>
      <c r="F17" s="8"/>
      <c r="G17" s="8"/>
      <c r="H17" s="8"/>
      <c r="I17" s="8"/>
      <c r="J17" s="8"/>
      <c r="K17" s="11"/>
      <c r="L17" s="11"/>
    </row>
    <row r="18" spans="5:12" x14ac:dyDescent="0.25">
      <c r="E18" s="8"/>
      <c r="F18" s="8"/>
      <c r="G18" s="8"/>
      <c r="H18" s="8"/>
      <c r="I18" s="8"/>
      <c r="J18" s="8"/>
      <c r="K18" s="11"/>
      <c r="L18" s="11"/>
    </row>
    <row r="19" spans="5:12" x14ac:dyDescent="0.25">
      <c r="E19" s="4"/>
      <c r="F19" s="4"/>
      <c r="G19" s="4"/>
      <c r="H19" s="4"/>
      <c r="I19" s="4"/>
      <c r="J19" s="4"/>
      <c r="K19" s="11"/>
      <c r="L19" s="11"/>
    </row>
    <row r="20" spans="5:12" x14ac:dyDescent="0.25">
      <c r="E20" s="4"/>
      <c r="F20" s="4"/>
      <c r="G20" s="4"/>
      <c r="H20" s="4"/>
      <c r="I20" s="4"/>
      <c r="J20" s="4"/>
      <c r="K20" s="11"/>
      <c r="L20" s="11"/>
    </row>
    <row r="21" spans="5:12" x14ac:dyDescent="0.25">
      <c r="E21" s="4"/>
      <c r="F21" s="4"/>
      <c r="G21" s="4"/>
      <c r="H21" s="4"/>
      <c r="I21" s="4"/>
      <c r="J21" s="4"/>
      <c r="K21" s="11"/>
      <c r="L21" s="11"/>
    </row>
    <row r="22" spans="5:12" x14ac:dyDescent="0.25">
      <c r="K22" s="11"/>
      <c r="L22" s="11"/>
    </row>
    <row r="23" spans="5:12" x14ac:dyDescent="0.25">
      <c r="E23" s="3"/>
      <c r="F23" s="6"/>
      <c r="G23" s="6"/>
      <c r="H23" s="6"/>
      <c r="I23" s="6"/>
      <c r="J23" s="6"/>
      <c r="K23" s="11"/>
      <c r="L23" s="11"/>
    </row>
    <row r="24" spans="5:12" x14ac:dyDescent="0.25">
      <c r="E24" s="4"/>
      <c r="F24" s="4"/>
      <c r="G24" s="4"/>
      <c r="H24" s="4"/>
      <c r="I24" s="4"/>
      <c r="J24" s="4"/>
      <c r="L24" s="11"/>
    </row>
    <row r="25" spans="5:12" x14ac:dyDescent="0.25">
      <c r="E25" s="2"/>
      <c r="F25" s="4"/>
      <c r="G25" s="4"/>
      <c r="H25" s="4"/>
      <c r="I25" s="4"/>
      <c r="J25" s="4"/>
      <c r="K25" s="11"/>
      <c r="L25" s="11"/>
    </row>
    <row r="26" spans="5:12" x14ac:dyDescent="0.25">
      <c r="E26" s="4"/>
      <c r="F26" s="4"/>
      <c r="G26" s="4"/>
      <c r="H26" s="4"/>
      <c r="I26" s="4"/>
      <c r="J26" s="4"/>
      <c r="K26" s="11"/>
      <c r="L26" s="11"/>
    </row>
    <row r="27" spans="5:12" x14ac:dyDescent="0.25">
      <c r="E27" s="8"/>
      <c r="F27" s="8"/>
      <c r="G27" s="8"/>
      <c r="H27" s="8"/>
      <c r="I27" s="8"/>
      <c r="J27" s="8"/>
      <c r="K27" s="11"/>
      <c r="L27" s="11"/>
    </row>
    <row r="28" spans="5:12" x14ac:dyDescent="0.25">
      <c r="E28" s="8"/>
      <c r="F28" s="8"/>
      <c r="G28" s="8"/>
      <c r="H28" s="8"/>
      <c r="I28" s="8"/>
      <c r="J28" s="8"/>
      <c r="K28" s="11"/>
      <c r="L28" s="11"/>
    </row>
    <row r="29" spans="5:12" x14ac:dyDescent="0.25">
      <c r="E29" s="4"/>
      <c r="F29" s="4"/>
      <c r="G29" s="4"/>
      <c r="H29" s="4"/>
      <c r="I29" s="4"/>
      <c r="J29" s="4"/>
      <c r="K29" s="11"/>
      <c r="L29" s="11"/>
    </row>
    <row r="30" spans="5:12" x14ac:dyDescent="0.25">
      <c r="E30" s="4"/>
      <c r="F30" s="4"/>
      <c r="G30" s="4"/>
      <c r="H30" s="4"/>
      <c r="I30" s="4"/>
      <c r="J30" s="4"/>
      <c r="K30" s="11"/>
      <c r="L30" s="11"/>
    </row>
    <row r="31" spans="5:12" x14ac:dyDescent="0.25">
      <c r="E31" s="4"/>
      <c r="F31" s="4"/>
      <c r="G31" s="4"/>
      <c r="H31" s="4"/>
      <c r="I31" s="4"/>
      <c r="J31" s="4"/>
      <c r="K31" s="11"/>
      <c r="L31" s="11"/>
    </row>
    <row r="32" spans="5:12" x14ac:dyDescent="0.25">
      <c r="K32" s="11"/>
    </row>
    <row r="33" spans="5:10" x14ac:dyDescent="0.25">
      <c r="E33" s="3"/>
      <c r="F33" s="6"/>
      <c r="G33" s="6"/>
      <c r="H33" s="6"/>
      <c r="I33" s="6"/>
      <c r="J33" s="6"/>
    </row>
    <row r="34" spans="5:10" x14ac:dyDescent="0.25">
      <c r="E34" s="4"/>
      <c r="F34" s="4"/>
      <c r="G34" s="4"/>
      <c r="H34" s="4"/>
      <c r="I34" s="4"/>
      <c r="J34" s="4"/>
    </row>
    <row r="35" spans="5:10" x14ac:dyDescent="0.25">
      <c r="E35" s="2"/>
      <c r="F35" s="4"/>
      <c r="G35" s="4"/>
      <c r="H35" s="4"/>
      <c r="I35" s="4"/>
      <c r="J35" s="4"/>
    </row>
    <row r="36" spans="5:10" x14ac:dyDescent="0.25">
      <c r="E36" s="4"/>
      <c r="F36" s="4"/>
      <c r="G36" s="4"/>
      <c r="H36" s="4"/>
      <c r="I36" s="4"/>
      <c r="J36" s="4"/>
    </row>
    <row r="37" spans="5:10" x14ac:dyDescent="0.25">
      <c r="E37" s="8"/>
      <c r="F37" s="8"/>
      <c r="G37" s="8"/>
      <c r="H37" s="8"/>
      <c r="I37" s="8"/>
      <c r="J37" s="8"/>
    </row>
    <row r="38" spans="5:10" x14ac:dyDescent="0.25">
      <c r="E38" s="8"/>
      <c r="F38" s="8"/>
      <c r="G38" s="8"/>
      <c r="H38" s="8"/>
      <c r="I38" s="8"/>
      <c r="J38" s="8"/>
    </row>
    <row r="39" spans="5:10" x14ac:dyDescent="0.25">
      <c r="E39" s="4"/>
      <c r="F39" s="4"/>
      <c r="G39" s="4"/>
      <c r="H39" s="4"/>
      <c r="I39" s="4"/>
      <c r="J39" s="4"/>
    </row>
    <row r="40" spans="5:10" x14ac:dyDescent="0.25">
      <c r="E40" s="4"/>
      <c r="F40" s="4"/>
      <c r="G40" s="4"/>
      <c r="H40" s="4"/>
      <c r="I40" s="4"/>
      <c r="J40" s="9"/>
    </row>
    <row r="42" spans="5:10" x14ac:dyDescent="0.25">
      <c r="F42" s="10"/>
      <c r="G42" s="10"/>
      <c r="H42" s="10"/>
      <c r="I42" s="10"/>
      <c r="J42" s="10"/>
    </row>
    <row r="43" spans="5:10" x14ac:dyDescent="0.25">
      <c r="E43" s="3"/>
      <c r="F43" s="6"/>
      <c r="G43" s="6"/>
      <c r="H43" s="6"/>
      <c r="I43" s="6"/>
      <c r="J43" s="6"/>
    </row>
    <row r="44" spans="5:10" x14ac:dyDescent="0.25">
      <c r="E44" s="4"/>
      <c r="F44" s="4"/>
      <c r="G44" s="4"/>
      <c r="H44" s="4"/>
      <c r="I44" s="4"/>
      <c r="J44" s="4"/>
    </row>
    <row r="45" spans="5:10" x14ac:dyDescent="0.25">
      <c r="E45" s="2"/>
      <c r="F45" s="4"/>
      <c r="G45" s="4"/>
      <c r="H45" s="4"/>
      <c r="I45" s="4"/>
      <c r="J45" s="4"/>
    </row>
    <row r="46" spans="5:10" x14ac:dyDescent="0.25">
      <c r="E46" s="4"/>
      <c r="F46" s="4"/>
      <c r="G46" s="4"/>
      <c r="H46" s="4"/>
      <c r="I46" s="4"/>
      <c r="J46" s="4"/>
    </row>
    <row r="47" spans="5:10" x14ac:dyDescent="0.25">
      <c r="E47" s="8"/>
      <c r="F47" s="8"/>
      <c r="G47" s="8"/>
      <c r="H47" s="8"/>
      <c r="I47" s="8"/>
      <c r="J47" s="8"/>
    </row>
    <row r="48" spans="5:10" x14ac:dyDescent="0.25">
      <c r="E48" s="8"/>
      <c r="F48" s="8"/>
      <c r="G48" s="8"/>
      <c r="H48" s="8"/>
      <c r="I48" s="8"/>
      <c r="J48" s="8"/>
    </row>
    <row r="49" spans="5:10" x14ac:dyDescent="0.25">
      <c r="E49" s="4"/>
      <c r="F49" s="4"/>
      <c r="G49" s="4"/>
      <c r="H49" s="4"/>
      <c r="I49" s="4"/>
      <c r="J49" s="4"/>
    </row>
    <row r="50" spans="5:10" x14ac:dyDescent="0.25">
      <c r="E50" s="4"/>
      <c r="F50" s="4"/>
      <c r="G50" s="4"/>
      <c r="H50" s="4"/>
      <c r="I50" s="4"/>
      <c r="J50" s="9"/>
    </row>
  </sheetData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77293-8DAB-4FAD-BD49-E8E8D6E6FE4E}">
  <sheetPr>
    <tabColor rgb="FFFFFF00"/>
  </sheetPr>
  <dimension ref="B2:H10"/>
  <sheetViews>
    <sheetView showGridLines="0" workbookViewId="0">
      <selection activeCell="G30" sqref="G30"/>
    </sheetView>
  </sheetViews>
  <sheetFormatPr defaultRowHeight="15" x14ac:dyDescent="0.25"/>
  <cols>
    <col min="2" max="2" width="39.28515625" customWidth="1"/>
    <col min="3" max="7" width="8.140625" bestFit="1" customWidth="1"/>
    <col min="8" max="8" width="9.5703125" bestFit="1" customWidth="1"/>
  </cols>
  <sheetData>
    <row r="2" spans="2:8" ht="15.75" thickBot="1" x14ac:dyDescent="0.3">
      <c r="B2" s="59" t="s">
        <v>76</v>
      </c>
      <c r="C2" s="56">
        <v>0.05</v>
      </c>
      <c r="D2" s="57">
        <v>1</v>
      </c>
      <c r="E2" s="57">
        <v>2</v>
      </c>
      <c r="F2" s="57">
        <v>3</v>
      </c>
      <c r="G2" s="57">
        <v>4</v>
      </c>
      <c r="H2" s="57">
        <v>5</v>
      </c>
    </row>
    <row r="3" spans="2:8" ht="15.75" thickTop="1" x14ac:dyDescent="0.25">
      <c r="B3" s="60" t="s">
        <v>0</v>
      </c>
      <c r="C3" s="23"/>
      <c r="D3" s="24">
        <f>C9</f>
        <v>100000</v>
      </c>
      <c r="E3" s="24">
        <f ca="1">D9</f>
        <v>105000</v>
      </c>
      <c r="F3" s="24">
        <f ca="1">E9</f>
        <v>110250</v>
      </c>
      <c r="G3" s="24">
        <f ca="1">F9</f>
        <v>115762.5</v>
      </c>
      <c r="H3" s="24">
        <f ca="1">G9</f>
        <v>121550.625</v>
      </c>
    </row>
    <row r="4" spans="2:8" x14ac:dyDescent="0.25">
      <c r="B4" s="60" t="s">
        <v>1</v>
      </c>
      <c r="C4" s="58">
        <v>100000</v>
      </c>
      <c r="D4" s="24"/>
      <c r="E4" s="24"/>
      <c r="F4" s="24"/>
      <c r="G4" s="24"/>
      <c r="H4" s="24"/>
    </row>
    <row r="5" spans="2:8" x14ac:dyDescent="0.25">
      <c r="B5" s="60" t="s">
        <v>4</v>
      </c>
      <c r="C5" s="24"/>
      <c r="D5" s="24">
        <f ca="1">D3*$D$5</f>
        <v>5000</v>
      </c>
      <c r="E5" s="24">
        <f ca="1">E3*$D$5</f>
        <v>5250</v>
      </c>
      <c r="F5" s="24">
        <f ca="1">F3*$D$5</f>
        <v>5512.5</v>
      </c>
      <c r="G5" s="24">
        <f ca="1">G3*$D$5</f>
        <v>5788.125</v>
      </c>
      <c r="H5" s="24">
        <f ca="1">H3*$D$5</f>
        <v>6077.53125</v>
      </c>
    </row>
    <row r="6" spans="2:8" x14ac:dyDescent="0.25">
      <c r="B6" s="61" t="s">
        <v>5</v>
      </c>
      <c r="C6" s="25"/>
      <c r="D6" s="25"/>
      <c r="E6" s="25"/>
      <c r="F6" s="25"/>
      <c r="G6" s="25"/>
      <c r="H6" s="25">
        <f ca="1">SUM(D5:H5)</f>
        <v>27628.15625</v>
      </c>
    </row>
    <row r="7" spans="2:8" x14ac:dyDescent="0.25">
      <c r="B7" s="61" t="s">
        <v>2</v>
      </c>
      <c r="C7" s="25"/>
      <c r="D7" s="25"/>
      <c r="E7" s="25"/>
      <c r="F7" s="25"/>
      <c r="G7" s="25"/>
      <c r="H7" s="25">
        <f>C4</f>
        <v>100000</v>
      </c>
    </row>
    <row r="8" spans="2:8" x14ac:dyDescent="0.25">
      <c r="B8" s="60" t="s">
        <v>30</v>
      </c>
      <c r="C8" s="24"/>
      <c r="D8" s="24">
        <f>D7+D6</f>
        <v>0</v>
      </c>
      <c r="E8" s="24">
        <f>E7+E6</f>
        <v>0</v>
      </c>
      <c r="F8" s="24">
        <f>F7+F6</f>
        <v>0</v>
      </c>
      <c r="G8" s="24">
        <f>G7+G6</f>
        <v>0</v>
      </c>
      <c r="H8" s="24">
        <f ca="1">H7+H6</f>
        <v>127628.15625</v>
      </c>
    </row>
    <row r="9" spans="2:8" ht="15.75" thickBot="1" x14ac:dyDescent="0.3">
      <c r="B9" s="62" t="s">
        <v>3</v>
      </c>
      <c r="C9" s="26">
        <f>C3+C4-C7</f>
        <v>100000</v>
      </c>
      <c r="D9" s="26">
        <f ca="1">D3+D5</f>
        <v>105000</v>
      </c>
      <c r="E9" s="26">
        <f ca="1">E3+E5</f>
        <v>110250</v>
      </c>
      <c r="F9" s="26">
        <f ca="1">F3+F5</f>
        <v>115762.5</v>
      </c>
      <c r="G9" s="26">
        <f ca="1">G3+G5</f>
        <v>121550.625</v>
      </c>
      <c r="H9" s="26">
        <f ca="1">H3-H7-SUM(D5:G5)</f>
        <v>0</v>
      </c>
    </row>
    <row r="10" spans="2:8" ht="15.75" thickTop="1" x14ac:dyDescent="0.25">
      <c r="B10" s="61" t="s">
        <v>31</v>
      </c>
      <c r="C10" s="24"/>
      <c r="D10" s="24"/>
      <c r="E10" s="24"/>
      <c r="F10" s="24"/>
      <c r="G10" s="24"/>
      <c r="H10" s="2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N30"/>
  <sheetViews>
    <sheetView showGridLines="0" topLeftCell="D1" zoomScale="70" zoomScaleNormal="70" workbookViewId="0">
      <selection activeCell="P19" sqref="P19"/>
    </sheetView>
  </sheetViews>
  <sheetFormatPr defaultColWidth="9.140625" defaultRowHeight="15" outlineLevelCol="1" x14ac:dyDescent="0.25"/>
  <cols>
    <col min="1" max="1" width="2.5703125" style="1" hidden="1" customWidth="1" outlineLevel="1"/>
    <col min="2" max="2" width="116.42578125" style="1" hidden="1" customWidth="1" outlineLevel="1"/>
    <col min="3" max="3" width="119.7109375" style="1" hidden="1" customWidth="1" outlineLevel="1"/>
    <col min="4" max="4" width="25.5703125" style="1" customWidth="1" collapsed="1"/>
    <col min="5" max="10" width="12.85546875" style="1" customWidth="1"/>
    <col min="11" max="11" width="23.5703125" style="1" bestFit="1" customWidth="1"/>
    <col min="12" max="13" width="9.140625" style="1"/>
    <col min="14" max="14" width="23.5703125" style="1" bestFit="1" customWidth="1"/>
    <col min="15" max="16384" width="9.140625" style="1"/>
  </cols>
  <sheetData>
    <row r="1" spans="1:14" x14ac:dyDescent="0.25">
      <c r="A1" s="33">
        <v>1</v>
      </c>
    </row>
    <row r="3" spans="1:14" x14ac:dyDescent="0.25">
      <c r="B3" s="28" t="s">
        <v>72</v>
      </c>
      <c r="C3" s="28" t="s">
        <v>43</v>
      </c>
      <c r="D3" s="5" t="str">
        <f>IF($A$1=1,B3,C3)</f>
        <v>Baloon</v>
      </c>
      <c r="E3" s="30">
        <v>0.05</v>
      </c>
      <c r="F3" s="31">
        <v>1</v>
      </c>
      <c r="G3" s="31">
        <v>2</v>
      </c>
      <c r="H3" s="31">
        <v>3</v>
      </c>
      <c r="I3" s="31">
        <v>4</v>
      </c>
      <c r="J3" s="31">
        <v>5</v>
      </c>
      <c r="L3" s="11"/>
      <c r="N3" s="27"/>
    </row>
    <row r="4" spans="1:14" x14ac:dyDescent="0.25">
      <c r="B4" s="27" t="s">
        <v>0</v>
      </c>
      <c r="C4" s="27" t="s">
        <v>34</v>
      </c>
      <c r="D4" s="1" t="str">
        <f t="shared" ref="D4:D11" si="0">IF($A$1=1,B4,C4)</f>
        <v>Debito Iniziale</v>
      </c>
      <c r="E4" s="4"/>
      <c r="F4" s="4">
        <f>E10</f>
        <v>100000</v>
      </c>
      <c r="G4" s="4">
        <f t="shared" ref="G4:J4" si="1">F10</f>
        <v>87500</v>
      </c>
      <c r="H4" s="4">
        <f t="shared" si="1"/>
        <v>75000</v>
      </c>
      <c r="I4" s="4">
        <f t="shared" si="1"/>
        <v>62500</v>
      </c>
      <c r="J4" s="4">
        <f t="shared" si="1"/>
        <v>50000</v>
      </c>
      <c r="L4" s="11"/>
    </row>
    <row r="5" spans="1:14" x14ac:dyDescent="0.25">
      <c r="B5" s="27" t="s">
        <v>1</v>
      </c>
      <c r="C5" s="27" t="s">
        <v>35</v>
      </c>
      <c r="D5" s="1" t="str">
        <f t="shared" si="0"/>
        <v>Erogazione</v>
      </c>
      <c r="E5" s="32">
        <v>100000</v>
      </c>
      <c r="F5" s="4"/>
      <c r="G5" s="4"/>
      <c r="H5" s="4"/>
      <c r="I5" s="4"/>
      <c r="J5" s="4"/>
      <c r="K5" s="11"/>
      <c r="L5" s="11"/>
    </row>
    <row r="6" spans="1:14" x14ac:dyDescent="0.25">
      <c r="B6" s="27" t="s">
        <v>4</v>
      </c>
      <c r="C6" s="27" t="s">
        <v>46</v>
      </c>
      <c r="D6" s="1" t="str">
        <f t="shared" si="0"/>
        <v>Oneri Finanziari maturati</v>
      </c>
      <c r="E6" s="4"/>
      <c r="F6" s="4">
        <f>F4*$E$3</f>
        <v>5000</v>
      </c>
      <c r="G6" s="4">
        <f t="shared" ref="G6:J6" si="2">G4*$E$3</f>
        <v>4375</v>
      </c>
      <c r="H6" s="4">
        <f t="shared" si="2"/>
        <v>3750</v>
      </c>
      <c r="I6" s="4">
        <f t="shared" si="2"/>
        <v>3125</v>
      </c>
      <c r="J6" s="4">
        <f t="shared" si="2"/>
        <v>2500</v>
      </c>
      <c r="K6" s="11"/>
      <c r="L6" s="11"/>
    </row>
    <row r="7" spans="1:14" x14ac:dyDescent="0.25">
      <c r="B7" s="29" t="s">
        <v>5</v>
      </c>
      <c r="C7" s="29" t="s">
        <v>47</v>
      </c>
      <c r="D7" s="7" t="str">
        <f t="shared" si="0"/>
        <v>Oneri Finanziari pagati</v>
      </c>
      <c r="E7" s="8"/>
      <c r="F7" s="8">
        <f>F6</f>
        <v>5000</v>
      </c>
      <c r="G7" s="8">
        <f t="shared" ref="G7:J7" si="3">G6</f>
        <v>4375</v>
      </c>
      <c r="H7" s="8">
        <f t="shared" si="3"/>
        <v>3750</v>
      </c>
      <c r="I7" s="8">
        <f t="shared" si="3"/>
        <v>3125</v>
      </c>
      <c r="J7" s="8">
        <f t="shared" si="3"/>
        <v>2500</v>
      </c>
      <c r="K7" s="11"/>
      <c r="L7" s="11"/>
    </row>
    <row r="8" spans="1:14" x14ac:dyDescent="0.25">
      <c r="B8" s="29" t="s">
        <v>2</v>
      </c>
      <c r="C8" s="29" t="s">
        <v>66</v>
      </c>
      <c r="D8" s="7" t="str">
        <f t="shared" si="0"/>
        <v>Rimborso Capitale</v>
      </c>
      <c r="E8" s="8"/>
      <c r="F8" s="8">
        <f>$E$5*50%/($J$3-1)</f>
        <v>12500</v>
      </c>
      <c r="G8" s="8">
        <f t="shared" ref="G8:I8" si="4">$E$5*50%/($J$3-1)</f>
        <v>12500</v>
      </c>
      <c r="H8" s="8">
        <f t="shared" si="4"/>
        <v>12500</v>
      </c>
      <c r="I8" s="8">
        <f t="shared" si="4"/>
        <v>12500</v>
      </c>
      <c r="J8" s="8">
        <f>E5-SUM(F8:I8)</f>
        <v>50000</v>
      </c>
      <c r="K8" s="11"/>
      <c r="L8" s="11"/>
    </row>
    <row r="9" spans="1:14" x14ac:dyDescent="0.25">
      <c r="B9" s="27" t="s">
        <v>44</v>
      </c>
      <c r="C9" s="27" t="s">
        <v>65</v>
      </c>
      <c r="D9" s="1" t="str">
        <f t="shared" si="0"/>
        <v>Servizio debito (Rata)</v>
      </c>
      <c r="E9" s="4"/>
      <c r="F9" s="4">
        <f>F8+F7</f>
        <v>17500</v>
      </c>
      <c r="G9" s="4">
        <f>G8+G7</f>
        <v>16875</v>
      </c>
      <c r="H9" s="4">
        <f>H8+H7</f>
        <v>16250</v>
      </c>
      <c r="I9" s="4">
        <f>I8+I7</f>
        <v>15625</v>
      </c>
      <c r="J9" s="4">
        <f>J8+J7</f>
        <v>52500</v>
      </c>
      <c r="K9" s="11"/>
      <c r="L9" s="11"/>
    </row>
    <row r="10" spans="1:14" x14ac:dyDescent="0.25">
      <c r="B10" s="27" t="s">
        <v>3</v>
      </c>
      <c r="C10" s="27" t="s">
        <v>36</v>
      </c>
      <c r="D10" s="1" t="str">
        <f t="shared" si="0"/>
        <v>Debito Finale</v>
      </c>
      <c r="E10" s="4">
        <f>E4+E5+E6-E7-E8</f>
        <v>100000</v>
      </c>
      <c r="F10" s="4">
        <f t="shared" ref="F10:J10" si="5">F4+F5+F6-F7-F8</f>
        <v>87500</v>
      </c>
      <c r="G10" s="4">
        <f t="shared" si="5"/>
        <v>75000</v>
      </c>
      <c r="H10" s="4">
        <f t="shared" si="5"/>
        <v>62500</v>
      </c>
      <c r="I10" s="4">
        <f t="shared" si="5"/>
        <v>50000</v>
      </c>
      <c r="J10" s="4">
        <f t="shared" si="5"/>
        <v>0</v>
      </c>
      <c r="K10" s="11"/>
      <c r="L10" s="11"/>
    </row>
    <row r="11" spans="1:14" x14ac:dyDescent="0.25">
      <c r="B11" s="29" t="s">
        <v>106</v>
      </c>
      <c r="C11" s="29" t="s">
        <v>67</v>
      </c>
      <c r="D11" s="7" t="str">
        <f t="shared" si="0"/>
        <v>Pagamento periodico degli interessi e rimborso di metà del capitale in 4 periodi, con saldo al termine del finanziamento.</v>
      </c>
      <c r="E11" s="4"/>
      <c r="F11" s="4"/>
      <c r="G11" s="4"/>
      <c r="H11" s="4"/>
      <c r="I11" s="4"/>
      <c r="J11" s="4"/>
      <c r="K11" s="11"/>
      <c r="L11" s="11"/>
    </row>
    <row r="12" spans="1:14" x14ac:dyDescent="0.25">
      <c r="K12" s="11"/>
    </row>
    <row r="13" spans="1:14" x14ac:dyDescent="0.25">
      <c r="C13" s="7"/>
      <c r="E13" s="3"/>
      <c r="F13" s="6"/>
      <c r="G13" s="6"/>
      <c r="H13" s="6"/>
      <c r="I13" s="6"/>
      <c r="J13" s="6"/>
    </row>
    <row r="14" spans="1:14" x14ac:dyDescent="0.25">
      <c r="E14" s="4"/>
      <c r="F14" s="4"/>
      <c r="G14" s="4"/>
      <c r="H14" s="4"/>
      <c r="I14" s="4"/>
      <c r="J14" s="4"/>
    </row>
    <row r="15" spans="1:14" x14ac:dyDescent="0.25">
      <c r="E15" s="2"/>
      <c r="F15" s="4"/>
      <c r="G15" s="4"/>
      <c r="H15" s="4"/>
      <c r="I15" s="4"/>
      <c r="J15" s="4"/>
    </row>
    <row r="16" spans="1:14" x14ac:dyDescent="0.25">
      <c r="E16" s="4"/>
      <c r="F16" s="4"/>
      <c r="G16" s="4"/>
      <c r="H16" s="4"/>
      <c r="I16" s="4"/>
      <c r="J16" s="4"/>
    </row>
    <row r="17" spans="5:10" x14ac:dyDescent="0.25">
      <c r="E17" s="8"/>
      <c r="F17" s="8"/>
      <c r="G17" s="8"/>
      <c r="H17" s="8"/>
      <c r="I17" s="8"/>
      <c r="J17" s="8"/>
    </row>
    <row r="18" spans="5:10" x14ac:dyDescent="0.25">
      <c r="E18" s="8"/>
      <c r="F18" s="8"/>
      <c r="G18" s="8"/>
      <c r="H18" s="8"/>
      <c r="I18" s="8"/>
      <c r="J18" s="8"/>
    </row>
    <row r="19" spans="5:10" x14ac:dyDescent="0.25">
      <c r="E19" s="4"/>
      <c r="F19" s="4"/>
      <c r="G19" s="4"/>
      <c r="H19" s="4"/>
      <c r="I19" s="4"/>
      <c r="J19" s="4"/>
    </row>
    <row r="20" spans="5:10" x14ac:dyDescent="0.25">
      <c r="E20" s="4"/>
      <c r="F20" s="4"/>
      <c r="G20" s="4"/>
      <c r="H20" s="4"/>
      <c r="I20" s="4"/>
      <c r="J20" s="9"/>
    </row>
    <row r="22" spans="5:10" x14ac:dyDescent="0.25">
      <c r="F22" s="10"/>
      <c r="G22" s="10"/>
      <c r="H22" s="10"/>
      <c r="I22" s="10"/>
      <c r="J22" s="10"/>
    </row>
    <row r="23" spans="5:10" x14ac:dyDescent="0.25">
      <c r="E23" s="3"/>
      <c r="F23" s="6"/>
      <c r="G23" s="6"/>
      <c r="H23" s="6"/>
      <c r="I23" s="6"/>
      <c r="J23" s="6"/>
    </row>
    <row r="24" spans="5:10" x14ac:dyDescent="0.25">
      <c r="E24" s="4"/>
      <c r="F24" s="4"/>
      <c r="G24" s="4"/>
      <c r="H24" s="4"/>
      <c r="I24" s="4"/>
      <c r="J24" s="4"/>
    </row>
    <row r="25" spans="5:10" x14ac:dyDescent="0.25">
      <c r="E25" s="2"/>
      <c r="F25" s="4"/>
      <c r="G25" s="4"/>
      <c r="H25" s="4"/>
      <c r="I25" s="4"/>
      <c r="J25" s="4"/>
    </row>
    <row r="26" spans="5:10" x14ac:dyDescent="0.25">
      <c r="E26" s="4"/>
      <c r="F26" s="4"/>
      <c r="G26" s="4"/>
      <c r="H26" s="4"/>
      <c r="I26" s="4"/>
      <c r="J26" s="4"/>
    </row>
    <row r="27" spans="5:10" x14ac:dyDescent="0.25">
      <c r="E27" s="8"/>
      <c r="F27" s="8"/>
      <c r="G27" s="8"/>
      <c r="H27" s="8"/>
      <c r="I27" s="8"/>
      <c r="J27" s="8"/>
    </row>
    <row r="28" spans="5:10" x14ac:dyDescent="0.25">
      <c r="E28" s="8"/>
      <c r="F28" s="8"/>
      <c r="G28" s="8"/>
      <c r="H28" s="8"/>
      <c r="I28" s="8"/>
      <c r="J28" s="8"/>
    </row>
    <row r="29" spans="5:10" x14ac:dyDescent="0.25">
      <c r="E29" s="4"/>
      <c r="F29" s="4"/>
      <c r="G29" s="4"/>
      <c r="H29" s="4"/>
      <c r="I29" s="4"/>
      <c r="J29" s="4"/>
    </row>
    <row r="30" spans="5:10" x14ac:dyDescent="0.25">
      <c r="E30" s="4"/>
      <c r="F30" s="4"/>
      <c r="G30" s="4"/>
      <c r="H30" s="4"/>
      <c r="I30" s="4"/>
      <c r="J30" s="9"/>
    </row>
  </sheetData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J20"/>
  <sheetViews>
    <sheetView showGridLines="0" zoomScale="130" zoomScaleNormal="130" workbookViewId="0">
      <selection activeCell="I19" sqref="I19"/>
    </sheetView>
  </sheetViews>
  <sheetFormatPr defaultColWidth="9.140625" defaultRowHeight="15" outlineLevelCol="1" x14ac:dyDescent="0.25"/>
  <cols>
    <col min="1" max="1" width="9.140625" style="1"/>
    <col min="2" max="2" width="0" style="1" hidden="1" customWidth="1" outlineLevel="1"/>
    <col min="3" max="3" width="9.140625" style="1" hidden="1" customWidth="1" outlineLevel="1"/>
    <col min="4" max="4" width="27.7109375" style="1" customWidth="1" collapsed="1"/>
    <col min="5" max="10" width="12.7109375" style="1" customWidth="1"/>
    <col min="11" max="16384" width="9.140625" style="1"/>
  </cols>
  <sheetData>
    <row r="1" spans="1:10" x14ac:dyDescent="0.25">
      <c r="A1" s="33">
        <v>1</v>
      </c>
    </row>
    <row r="3" spans="1:10" x14ac:dyDescent="0.25">
      <c r="B3" s="28" t="s">
        <v>74</v>
      </c>
      <c r="C3" s="28" t="s">
        <v>48</v>
      </c>
      <c r="D3" s="5" t="str">
        <f>IF($A$1=1,B3,C3)</f>
        <v>Rata Francese</v>
      </c>
      <c r="E3" s="30">
        <v>0.05</v>
      </c>
      <c r="F3" s="31">
        <v>1</v>
      </c>
      <c r="G3" s="31">
        <v>2</v>
      </c>
      <c r="H3" s="31">
        <v>3</v>
      </c>
      <c r="I3" s="31">
        <v>4</v>
      </c>
      <c r="J3" s="31">
        <v>5</v>
      </c>
    </row>
    <row r="4" spans="1:10" x14ac:dyDescent="0.25">
      <c r="B4" s="27" t="s">
        <v>0</v>
      </c>
      <c r="C4" s="27" t="s">
        <v>34</v>
      </c>
      <c r="D4" s="1" t="str">
        <f t="shared" ref="D4:D11" si="0">IF($A$1=1,B4,C4)</f>
        <v>Debito Iniziale</v>
      </c>
      <c r="E4" s="4"/>
      <c r="F4" s="4">
        <f>E10</f>
        <v>100000</v>
      </c>
      <c r="G4" s="4">
        <f t="shared" ref="G4:J4" si="1">F10</f>
        <v>81902.520187173184</v>
      </c>
      <c r="H4" s="4">
        <f t="shared" si="1"/>
        <v>62900.166383705029</v>
      </c>
      <c r="I4" s="4">
        <f t="shared" si="1"/>
        <v>42947.694890063474</v>
      </c>
      <c r="J4" s="4">
        <f t="shared" si="1"/>
        <v>21997.599821739837</v>
      </c>
    </row>
    <row r="5" spans="1:10" x14ac:dyDescent="0.25">
      <c r="B5" s="27" t="s">
        <v>1</v>
      </c>
      <c r="C5" s="27" t="s">
        <v>35</v>
      </c>
      <c r="D5" s="1" t="str">
        <f t="shared" si="0"/>
        <v>Erogazione</v>
      </c>
      <c r="E5" s="32">
        <v>100000</v>
      </c>
      <c r="F5" s="4"/>
      <c r="G5" s="4"/>
      <c r="H5" s="4"/>
      <c r="I5" s="4"/>
      <c r="J5" s="4"/>
    </row>
    <row r="6" spans="1:10" x14ac:dyDescent="0.25">
      <c r="B6" s="27" t="s">
        <v>4</v>
      </c>
      <c r="C6" s="27" t="s">
        <v>46</v>
      </c>
      <c r="D6" s="1" t="str">
        <f t="shared" si="0"/>
        <v>Oneri Finanziari maturati</v>
      </c>
      <c r="E6" s="4"/>
      <c r="F6" s="4">
        <f>F4*$E$3</f>
        <v>5000</v>
      </c>
      <c r="G6" s="4">
        <f t="shared" ref="G6:J6" si="2">G4*$E$3</f>
        <v>4095.1260093586593</v>
      </c>
      <c r="H6" s="4">
        <f t="shared" si="2"/>
        <v>3145.0083191852518</v>
      </c>
      <c r="I6" s="4">
        <f t="shared" si="2"/>
        <v>2147.3847445031738</v>
      </c>
      <c r="J6" s="4">
        <f t="shared" si="2"/>
        <v>1099.8799910869918</v>
      </c>
    </row>
    <row r="7" spans="1:10" x14ac:dyDescent="0.25">
      <c r="B7" s="29" t="s">
        <v>5</v>
      </c>
      <c r="C7" s="29" t="s">
        <v>47</v>
      </c>
      <c r="D7" s="7" t="str">
        <f t="shared" si="0"/>
        <v>Oneri Finanziari pagati</v>
      </c>
      <c r="E7" s="8"/>
      <c r="F7" s="8">
        <f>F6</f>
        <v>5000</v>
      </c>
      <c r="G7" s="8">
        <f>G6</f>
        <v>4095.1260093586593</v>
      </c>
      <c r="H7" s="8">
        <f>H6</f>
        <v>3145.0083191852518</v>
      </c>
      <c r="I7" s="8">
        <f>I6</f>
        <v>2147.3847445031738</v>
      </c>
      <c r="J7" s="8">
        <f>J6</f>
        <v>1099.8799910869918</v>
      </c>
    </row>
    <row r="8" spans="1:10" x14ac:dyDescent="0.25">
      <c r="B8" s="29" t="s">
        <v>2</v>
      </c>
      <c r="C8" s="29" t="s">
        <v>66</v>
      </c>
      <c r="D8" s="7" t="str">
        <f t="shared" si="0"/>
        <v>Rimborso Capitale</v>
      </c>
      <c r="E8" s="8"/>
      <c r="F8" s="8">
        <f>-PPMT($E$3,F3,$J$3,$F$4)</f>
        <v>18097.479812826812</v>
      </c>
      <c r="G8" s="8">
        <f t="shared" ref="G8:J8" si="3">-PPMT($E$3,G3,$J$3,$F$4)</f>
        <v>19002.353803468151</v>
      </c>
      <c r="H8" s="8">
        <f t="shared" si="3"/>
        <v>19952.471493641558</v>
      </c>
      <c r="I8" s="8">
        <f t="shared" si="3"/>
        <v>20950.095068323637</v>
      </c>
      <c r="J8" s="8">
        <f t="shared" si="3"/>
        <v>21997.599821739819</v>
      </c>
    </row>
    <row r="9" spans="1:10" x14ac:dyDescent="0.25">
      <c r="B9" s="27" t="s">
        <v>44</v>
      </c>
      <c r="C9" s="27" t="s">
        <v>65</v>
      </c>
      <c r="D9" s="1" t="str">
        <f t="shared" si="0"/>
        <v>Servizio debito (Rata)</v>
      </c>
      <c r="E9" s="4"/>
      <c r="F9" s="4">
        <f>F8+F7</f>
        <v>23097.479812826812</v>
      </c>
      <c r="G9" s="4">
        <f>G8+G7</f>
        <v>23097.479812826812</v>
      </c>
      <c r="H9" s="4">
        <f>H8+H7</f>
        <v>23097.479812826808</v>
      </c>
      <c r="I9" s="4">
        <f>I8+I7</f>
        <v>23097.479812826812</v>
      </c>
      <c r="J9" s="4">
        <f>J8+J7</f>
        <v>23097.479812826812</v>
      </c>
    </row>
    <row r="10" spans="1:10" x14ac:dyDescent="0.25">
      <c r="B10" s="27" t="s">
        <v>3</v>
      </c>
      <c r="C10" s="27" t="s">
        <v>36</v>
      </c>
      <c r="D10" s="1" t="str">
        <f t="shared" si="0"/>
        <v>Debito Finale</v>
      </c>
      <c r="E10" s="4">
        <f t="shared" ref="E10:J10" si="4">E4+E5-E8</f>
        <v>100000</v>
      </c>
      <c r="F10" s="4">
        <f t="shared" si="4"/>
        <v>81902.520187173184</v>
      </c>
      <c r="G10" s="4">
        <f t="shared" si="4"/>
        <v>62900.166383705029</v>
      </c>
      <c r="H10" s="4">
        <f t="shared" si="4"/>
        <v>42947.694890063474</v>
      </c>
      <c r="I10" s="4">
        <f t="shared" si="4"/>
        <v>21997.599821739837</v>
      </c>
      <c r="J10" s="4">
        <f t="shared" si="4"/>
        <v>0</v>
      </c>
    </row>
    <row r="11" spans="1:10" x14ac:dyDescent="0.25">
      <c r="B11" s="29" t="s">
        <v>108</v>
      </c>
      <c r="C11" s="29" t="s">
        <v>69</v>
      </c>
      <c r="D11" s="7" t="str">
        <f t="shared" si="0"/>
        <v>Pagamento periodico degli interessi e rimborso del capitale con rata costante durante l'intera vita del finanziamento.</v>
      </c>
    </row>
    <row r="12" spans="1:10" x14ac:dyDescent="0.25">
      <c r="F12" s="10"/>
      <c r="G12" s="10"/>
      <c r="H12" s="10"/>
      <c r="I12" s="10"/>
      <c r="J12" s="10"/>
    </row>
    <row r="13" spans="1:10" x14ac:dyDescent="0.25">
      <c r="C13" s="7"/>
      <c r="E13" s="3"/>
      <c r="F13" s="6"/>
      <c r="G13" s="6"/>
      <c r="H13" s="6"/>
      <c r="I13" s="6"/>
      <c r="J13" s="6"/>
    </row>
    <row r="14" spans="1:10" x14ac:dyDescent="0.25">
      <c r="E14" s="4"/>
      <c r="F14" s="4"/>
      <c r="G14" s="4"/>
      <c r="H14" s="4"/>
      <c r="I14" s="4"/>
      <c r="J14" s="4"/>
    </row>
    <row r="15" spans="1:10" x14ac:dyDescent="0.25">
      <c r="E15" s="2"/>
      <c r="F15" s="4"/>
      <c r="G15" s="4"/>
      <c r="H15" s="4"/>
      <c r="I15" s="4"/>
      <c r="J15" s="4"/>
    </row>
    <row r="16" spans="1:10" x14ac:dyDescent="0.25">
      <c r="E16" s="4"/>
      <c r="F16" s="4"/>
      <c r="G16" s="4"/>
      <c r="H16" s="4"/>
      <c r="I16" s="4"/>
      <c r="J16" s="4"/>
    </row>
    <row r="17" spans="5:10" x14ac:dyDescent="0.25">
      <c r="E17" s="8"/>
      <c r="F17" s="8"/>
      <c r="G17" s="8"/>
      <c r="H17" s="8"/>
      <c r="I17" s="8"/>
      <c r="J17" s="8"/>
    </row>
    <row r="18" spans="5:10" x14ac:dyDescent="0.25">
      <c r="E18" s="8"/>
      <c r="F18" s="8"/>
      <c r="G18" s="8"/>
      <c r="H18" s="8"/>
      <c r="I18" s="8"/>
      <c r="J18" s="8"/>
    </row>
    <row r="19" spans="5:10" x14ac:dyDescent="0.25">
      <c r="E19" s="4"/>
      <c r="F19" s="4"/>
      <c r="G19" s="4"/>
      <c r="H19" s="4"/>
      <c r="I19" s="4"/>
      <c r="J19" s="4"/>
    </row>
    <row r="20" spans="5:10" x14ac:dyDescent="0.25">
      <c r="E20" s="4"/>
      <c r="F20" s="4"/>
      <c r="G20" s="4"/>
      <c r="H20" s="4"/>
      <c r="I20" s="4"/>
      <c r="J20" s="9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leggimi</vt:lpstr>
      <vt:lpstr>Commissioni </vt:lpstr>
      <vt:lpstr>Gr Tassi</vt:lpstr>
      <vt:lpstr>Covenant</vt:lpstr>
      <vt:lpstr>Release</vt:lpstr>
      <vt:lpstr>Bullet</vt:lpstr>
      <vt:lpstr>Bullet cap</vt:lpstr>
      <vt:lpstr>Baloon</vt:lpstr>
      <vt:lpstr>Rata Francese</vt:lpstr>
      <vt:lpstr>Rata Italiana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2024-10-08T12:32:28Z</dcterms:modified>
</cp:coreProperties>
</file>