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nodaitaly-my.sharepoint.com/personal/giacomo_morri_it_andersen_com/Documents/Dati GM/SDA/Libri Morri/Libro Nuovo Finanziamento 2023/Tabelle e grafici/"/>
    </mc:Choice>
  </mc:AlternateContent>
  <xr:revisionPtr revIDLastSave="53" documentId="13_ncr:1_{D4173822-C6DB-40E6-AB16-1432E2D5D09D}" xr6:coauthVersionLast="47" xr6:coauthVersionMax="47" xr10:uidLastSave="{C195B61E-0E0C-4D64-9F82-0B9284F80064}"/>
  <bookViews>
    <workbookView xWindow="-120" yWindow="-120" windowWidth="29040" windowHeight="15720" tabRatio="748" xr2:uid="{00000000-000D-0000-FFFF-FFFF00000000}"/>
  </bookViews>
  <sheets>
    <sheet name="leggimi" sheetId="71" r:id="rId1"/>
    <sheet name="CALCOLI--&gt;" sheetId="70" r:id="rId2"/>
    <sheet name="Leasing" sheetId="17" r:id="rId3"/>
    <sheet name="new slb1" sheetId="40" r:id="rId4"/>
    <sheet name="new slb2" sheetId="41" r:id="rId5"/>
    <sheet name="newslbcalc" sheetId="42" r:id="rId6"/>
    <sheet name="TABELLE--&gt;" sheetId="59" r:id="rId7"/>
    <sheet name="RightOfUse" sheetId="61" r:id="rId8"/>
    <sheet name="SP" sheetId="64" r:id="rId9"/>
    <sheet name="Amm" sheetId="62" r:id="rId10"/>
    <sheet name="Int" sheetId="63" r:id="rId11"/>
    <sheet name="Riscatto" sheetId="11" r:id="rId12"/>
    <sheet name="Cessione" sheetId="10" r:id="rId13"/>
    <sheet name="Profilo" sheetId="60" r:id="rId14"/>
    <sheet name="Contratto" sheetId="19" r:id="rId15"/>
    <sheet name="Canone" sheetId="20" r:id="rId16"/>
    <sheet name="Fiscale" sheetId="21" r:id="rId17"/>
    <sheet name="Costo" sheetId="22" r:id="rId18"/>
    <sheet name="RispFiscale" sheetId="23" r:id="rId19"/>
    <sheet name="Flusso" sheetId="24" r:id="rId20"/>
    <sheet name="CGTL" sheetId="25" r:id="rId21"/>
    <sheet name="FlussoNetto" sheetId="26" r:id="rId22"/>
    <sheet name="Banca" sheetId="27" r:id="rId23"/>
    <sheet name="Ammortamento" sheetId="28" r:id="rId24"/>
    <sheet name="CostoBanca" sheetId="29" r:id="rId25"/>
    <sheet name="VC" sheetId="52" r:id="rId26"/>
    <sheet name="FinCosto" sheetId="53" r:id="rId27"/>
    <sheet name="Diff" sheetId="54" r:id="rId28"/>
    <sheet name="DiffCGTL" sheetId="57" r:id="rId29"/>
    <sheet name="CostoSL" sheetId="55" r:id="rId30"/>
  </sheets>
  <definedNames>
    <definedName name="acc">#REF!</definedName>
    <definedName name="_xlnm.Print_Area" localSheetId="13">Profilo!$B$2:$T$9</definedName>
    <definedName name="mag">#REF!</definedName>
    <definedName name="nov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63" l="1"/>
  <c r="F10" i="63"/>
  <c r="F9" i="63"/>
  <c r="F8" i="63"/>
  <c r="F7" i="63"/>
  <c r="F6" i="63"/>
  <c r="F5" i="63"/>
  <c r="F4" i="63"/>
  <c r="C5" i="64" l="1"/>
  <c r="G5" i="64"/>
  <c r="F5" i="64" s="1"/>
  <c r="H5" i="64" s="1"/>
  <c r="C6" i="64" s="1"/>
  <c r="D6" i="64"/>
  <c r="G6" i="64"/>
  <c r="B7" i="64"/>
  <c r="B8" i="64" s="1"/>
  <c r="B9" i="64" s="1"/>
  <c r="B10" i="64" s="1"/>
  <c r="B11" i="64" s="1"/>
  <c r="B12" i="64" s="1"/>
  <c r="B13" i="64" s="1"/>
  <c r="D7" i="64"/>
  <c r="G7" i="64"/>
  <c r="D8" i="64"/>
  <c r="G8" i="64"/>
  <c r="D9" i="64"/>
  <c r="G9" i="64"/>
  <c r="D10" i="64"/>
  <c r="G10" i="64"/>
  <c r="D11" i="64"/>
  <c r="G11" i="64"/>
  <c r="D12" i="64"/>
  <c r="G12" i="64"/>
  <c r="D13" i="64"/>
  <c r="G13" i="64"/>
  <c r="E5" i="63"/>
  <c r="E6" i="63" s="1"/>
  <c r="E7" i="63" s="1"/>
  <c r="E8" i="63" s="1"/>
  <c r="E9" i="63" s="1"/>
  <c r="E10" i="63" s="1"/>
  <c r="E11" i="63" s="1"/>
  <c r="C7" i="62"/>
  <c r="C8" i="62" s="1"/>
  <c r="C9" i="62" s="1"/>
  <c r="C10" i="62" s="1"/>
  <c r="C11" i="62" s="1"/>
  <c r="C12" i="62" s="1"/>
  <c r="C13" i="62" s="1"/>
  <c r="C20" i="61"/>
  <c r="C19" i="61"/>
  <c r="C18" i="61"/>
  <c r="C17" i="61"/>
  <c r="C16" i="61"/>
  <c r="C15" i="61"/>
  <c r="C14" i="61"/>
  <c r="B14" i="61"/>
  <c r="B15" i="61" s="1"/>
  <c r="B16" i="61" s="1"/>
  <c r="B17" i="61" s="1"/>
  <c r="C13" i="61"/>
  <c r="C12" i="61"/>
  <c r="D12" i="61" s="1"/>
  <c r="E6" i="64" l="1"/>
  <c r="F6" i="64" s="1"/>
  <c r="H6" i="64" s="1"/>
  <c r="C7" i="64" s="1"/>
  <c r="B18" i="61"/>
  <c r="B19" i="61" s="1"/>
  <c r="B20" i="61" s="1"/>
  <c r="D20" i="61" s="1"/>
  <c r="D17" i="61"/>
  <c r="C21" i="61"/>
  <c r="D14" i="61"/>
  <c r="D15" i="61"/>
  <c r="D16" i="61"/>
  <c r="D13" i="61"/>
  <c r="E7" i="64" l="1"/>
  <c r="F7" i="64" s="1"/>
  <c r="H7" i="64" s="1"/>
  <c r="C8" i="64" s="1"/>
  <c r="D19" i="61"/>
  <c r="D18" i="61"/>
  <c r="D21" i="61"/>
  <c r="D10" i="62" s="1"/>
  <c r="D8" i="62"/>
  <c r="E8" i="64" l="1"/>
  <c r="F8" i="64" s="1"/>
  <c r="H8" i="64" s="1"/>
  <c r="C9" i="64" s="1"/>
  <c r="D11" i="62"/>
  <c r="F11" i="62" s="1"/>
  <c r="G9" i="63" s="1"/>
  <c r="D6" i="62"/>
  <c r="F6" i="62" s="1"/>
  <c r="D13" i="62"/>
  <c r="D9" i="62"/>
  <c r="F9" i="62" s="1"/>
  <c r="G7" i="63" s="1"/>
  <c r="D7" i="62"/>
  <c r="F7" i="62" s="1"/>
  <c r="G5" i="63" s="1"/>
  <c r="D12" i="62"/>
  <c r="F12" i="62" s="1"/>
  <c r="G10" i="63" s="1"/>
  <c r="F13" i="62"/>
  <c r="G11" i="63" s="1"/>
  <c r="F10" i="62"/>
  <c r="G8" i="63" s="1"/>
  <c r="F8" i="62"/>
  <c r="G6" i="63" s="1"/>
  <c r="E9" i="64" l="1"/>
  <c r="F9" i="64" s="1"/>
  <c r="H9" i="64"/>
  <c r="C10" i="64" s="1"/>
  <c r="G4" i="63"/>
  <c r="G12" i="63" s="1"/>
  <c r="E6" i="62"/>
  <c r="E10" i="64" l="1"/>
  <c r="F10" i="64" s="1"/>
  <c r="H10" i="64" s="1"/>
  <c r="C11" i="64" s="1"/>
  <c r="E7" i="62"/>
  <c r="G6" i="62"/>
  <c r="H4" i="63"/>
  <c r="E11" i="64" l="1"/>
  <c r="F11" i="64" s="1"/>
  <c r="H11" i="64"/>
  <c r="C12" i="64" s="1"/>
  <c r="E8" i="62"/>
  <c r="G7" i="62"/>
  <c r="E12" i="64" l="1"/>
  <c r="F12" i="64" s="1"/>
  <c r="H12" i="64" s="1"/>
  <c r="C13" i="64" s="1"/>
  <c r="E9" i="62"/>
  <c r="G8" i="62"/>
  <c r="H5" i="63"/>
  <c r="E13" i="64" l="1"/>
  <c r="F13" i="64" s="1"/>
  <c r="H13" i="64" s="1"/>
  <c r="E10" i="62"/>
  <c r="G9" i="62"/>
  <c r="E11" i="62" l="1"/>
  <c r="G10" i="62"/>
  <c r="H6" i="63"/>
  <c r="E12" i="62" l="1"/>
  <c r="G11" i="62"/>
  <c r="E13" i="62" l="1"/>
  <c r="G13" i="62" s="1"/>
  <c r="G12" i="62"/>
  <c r="H7" i="63"/>
  <c r="H8" i="63" l="1"/>
  <c r="H9" i="63" l="1"/>
  <c r="H10" i="63" l="1"/>
  <c r="D15" i="41" l="1"/>
  <c r="D14" i="41"/>
  <c r="D13" i="41"/>
  <c r="D12" i="41"/>
  <c r="D11" i="41"/>
  <c r="D10" i="41"/>
  <c r="D9" i="41"/>
  <c r="D8" i="41"/>
  <c r="D7" i="41"/>
  <c r="D6" i="41"/>
  <c r="D5" i="41"/>
  <c r="D4" i="41"/>
  <c r="E2" i="41"/>
  <c r="D4" i="42"/>
  <c r="D3" i="42"/>
  <c r="D2" i="42"/>
  <c r="C2" i="28"/>
  <c r="H85" i="17"/>
  <c r="I85" i="17" s="1"/>
  <c r="J85" i="17" s="1"/>
  <c r="K85" i="17" s="1"/>
  <c r="L85" i="17" s="1"/>
  <c r="M85" i="17" s="1"/>
  <c r="N85" i="17" s="1"/>
  <c r="O85" i="17" s="1"/>
  <c r="P85" i="17" s="1"/>
  <c r="Q85" i="17" s="1"/>
  <c r="R85" i="17" s="1"/>
  <c r="S85" i="17" s="1"/>
  <c r="T85" i="17" s="1"/>
  <c r="U85" i="17" s="1"/>
  <c r="V85" i="17" s="1"/>
  <c r="W85" i="17" s="1"/>
  <c r="X85" i="17" s="1"/>
  <c r="H78" i="17"/>
  <c r="I78" i="17" s="1"/>
  <c r="J78" i="17" s="1"/>
  <c r="K78" i="17" s="1"/>
  <c r="L78" i="17" s="1"/>
  <c r="M78" i="17" s="1"/>
  <c r="N78" i="17" s="1"/>
  <c r="O78" i="17" s="1"/>
  <c r="P78" i="17" s="1"/>
  <c r="Q78" i="17" s="1"/>
  <c r="R78" i="17" s="1"/>
  <c r="S78" i="17" s="1"/>
  <c r="T78" i="17" s="1"/>
  <c r="U78" i="17" s="1"/>
  <c r="V78" i="17" s="1"/>
  <c r="W78" i="17" s="1"/>
  <c r="X78" i="17" s="1"/>
  <c r="H11" i="63" l="1"/>
  <c r="H12" i="63" s="1"/>
  <c r="F12" i="63"/>
  <c r="C65" i="41"/>
  <c r="C51" i="41"/>
  <c r="C36" i="41"/>
  <c r="F64" i="41" l="1"/>
  <c r="G64" i="41" s="1"/>
  <c r="E53" i="41"/>
  <c r="E14" i="42" s="1"/>
  <c r="E52" i="41"/>
  <c r="F50" i="41"/>
  <c r="D47" i="41"/>
  <c r="E35" i="41"/>
  <c r="F34" i="41"/>
  <c r="E8" i="41"/>
  <c r="E5" i="41"/>
  <c r="E37" i="41" s="1"/>
  <c r="E4" i="41"/>
  <c r="C65" i="40"/>
  <c r="F64" i="40"/>
  <c r="E53" i="40"/>
  <c r="E52" i="40"/>
  <c r="C51" i="40"/>
  <c r="F50" i="40"/>
  <c r="D47" i="40"/>
  <c r="C36" i="40"/>
  <c r="E35" i="40"/>
  <c r="F34" i="40"/>
  <c r="G34" i="40" s="1"/>
  <c r="H34" i="40" s="1"/>
  <c r="E8" i="40"/>
  <c r="W39" i="40" s="1"/>
  <c r="E5" i="40"/>
  <c r="E4" i="40"/>
  <c r="E72" i="17"/>
  <c r="D65" i="17"/>
  <c r="G64" i="17"/>
  <c r="D53" i="17"/>
  <c r="G52" i="17"/>
  <c r="H52" i="17" s="1"/>
  <c r="I52" i="17" s="1"/>
  <c r="J52" i="17" s="1"/>
  <c r="K52" i="17" s="1"/>
  <c r="L52" i="17" s="1"/>
  <c r="M52" i="17" s="1"/>
  <c r="N52" i="17" s="1"/>
  <c r="O52" i="17" s="1"/>
  <c r="P52" i="17" s="1"/>
  <c r="Q52" i="17" s="1"/>
  <c r="R52" i="17" s="1"/>
  <c r="S52" i="17" s="1"/>
  <c r="T52" i="17" s="1"/>
  <c r="E49" i="17"/>
  <c r="F37" i="17"/>
  <c r="G36" i="17"/>
  <c r="F12" i="17"/>
  <c r="F9" i="17"/>
  <c r="E71" i="17" s="1"/>
  <c r="F8" i="17"/>
  <c r="F38" i="17" s="1"/>
  <c r="E25" i="41" l="1"/>
  <c r="E31" i="41" s="1"/>
  <c r="W39" i="41"/>
  <c r="D14" i="42"/>
  <c r="D13" i="42"/>
  <c r="F27" i="17"/>
  <c r="F28" i="17" s="1"/>
  <c r="F34" i="17" s="1"/>
  <c r="F59" i="17" s="1"/>
  <c r="X41" i="17"/>
  <c r="U7" i="22" s="1"/>
  <c r="U52" i="17"/>
  <c r="V52" i="17" s="1"/>
  <c r="W52" i="17" s="1"/>
  <c r="X52" i="17" s="1"/>
  <c r="E36" i="41"/>
  <c r="E47" i="41"/>
  <c r="F47" i="41" s="1"/>
  <c r="D18" i="41"/>
  <c r="E13" i="42"/>
  <c r="E47" i="40"/>
  <c r="F47" i="40" s="1"/>
  <c r="D24" i="42" s="1"/>
  <c r="I34" i="40"/>
  <c r="D18" i="40"/>
  <c r="E25" i="40"/>
  <c r="E31" i="40" s="1"/>
  <c r="F88" i="17"/>
  <c r="F86" i="17"/>
  <c r="G79" i="17"/>
  <c r="G80" i="17" s="1"/>
  <c r="F87" i="17"/>
  <c r="E76" i="17"/>
  <c r="E20" i="17"/>
  <c r="E22" i="17" s="1"/>
  <c r="F39" i="17"/>
  <c r="E21" i="17"/>
  <c r="E23" i="17" s="1"/>
  <c r="D7" i="42"/>
  <c r="E7" i="42" s="1"/>
  <c r="D6" i="53"/>
  <c r="C6" i="53"/>
  <c r="D5" i="53"/>
  <c r="C5" i="53"/>
  <c r="C4" i="52"/>
  <c r="C3" i="52"/>
  <c r="C2" i="52"/>
  <c r="E26" i="41" l="1"/>
  <c r="E27" i="41" s="1"/>
  <c r="G81" i="17"/>
  <c r="G82" i="17" s="1"/>
  <c r="G83" i="17"/>
  <c r="G47" i="41"/>
  <c r="F7" i="54" s="1"/>
  <c r="E7" i="54" s="1"/>
  <c r="F24" i="42"/>
  <c r="C7" i="54"/>
  <c r="G47" i="40"/>
  <c r="E24" i="42" s="1"/>
  <c r="E26" i="40"/>
  <c r="E32" i="40" s="1"/>
  <c r="J34" i="40"/>
  <c r="F29" i="17"/>
  <c r="G92" i="17"/>
  <c r="E24" i="17"/>
  <c r="F90" i="17"/>
  <c r="F42" i="17"/>
  <c r="C7" i="52"/>
  <c r="B11" i="29"/>
  <c r="G47" i="17" l="1"/>
  <c r="H47" i="17" s="1"/>
  <c r="F33" i="17"/>
  <c r="E32" i="41"/>
  <c r="E59" i="41" s="1"/>
  <c r="E4" i="57" s="1"/>
  <c r="E27" i="40"/>
  <c r="F29" i="42"/>
  <c r="W40" i="17"/>
  <c r="W42" i="17" s="1"/>
  <c r="W53" i="17" s="1"/>
  <c r="V40" i="17"/>
  <c r="V42" i="17" s="1"/>
  <c r="V53" i="17" s="1"/>
  <c r="X40" i="17"/>
  <c r="G24" i="42"/>
  <c r="D7" i="54"/>
  <c r="K34" i="40"/>
  <c r="F93" i="17"/>
  <c r="F53" i="17"/>
  <c r="U40" i="17"/>
  <c r="S40" i="17"/>
  <c r="Q40" i="17"/>
  <c r="O40" i="17"/>
  <c r="M40" i="17"/>
  <c r="K40" i="17"/>
  <c r="I40" i="17"/>
  <c r="G40" i="17"/>
  <c r="T40" i="17"/>
  <c r="R40" i="17"/>
  <c r="P40" i="17"/>
  <c r="N40" i="17"/>
  <c r="L40" i="17"/>
  <c r="J40" i="17"/>
  <c r="H40" i="17"/>
  <c r="F26" i="17"/>
  <c r="F31" i="17" l="1"/>
  <c r="F32" i="17" s="1"/>
  <c r="G46" i="17" s="1"/>
  <c r="H46" i="17" s="1"/>
  <c r="H48" i="17" s="1"/>
  <c r="F30" i="17"/>
  <c r="X42" i="17"/>
  <c r="U6" i="22"/>
  <c r="L34" i="40"/>
  <c r="I42" i="17"/>
  <c r="K42" i="17"/>
  <c r="O42" i="17"/>
  <c r="S42" i="17"/>
  <c r="M42" i="17"/>
  <c r="Q42" i="17"/>
  <c r="U42" i="17"/>
  <c r="X53" i="17" l="1"/>
  <c r="U8" i="22"/>
  <c r="M34" i="40"/>
  <c r="R42" i="17"/>
  <c r="R53" i="17" s="1"/>
  <c r="S53" i="17"/>
  <c r="J42" i="17"/>
  <c r="J53" i="17" s="1"/>
  <c r="K53" i="17"/>
  <c r="N42" i="17"/>
  <c r="N53" i="17" s="1"/>
  <c r="O53" i="17"/>
  <c r="P42" i="17"/>
  <c r="P53" i="17" s="1"/>
  <c r="Q53" i="17"/>
  <c r="L42" i="17"/>
  <c r="L53" i="17" s="1"/>
  <c r="M53" i="17"/>
  <c r="H42" i="17"/>
  <c r="H53" i="17" s="1"/>
  <c r="I53" i="17"/>
  <c r="G42" i="17"/>
  <c r="T42" i="17"/>
  <c r="T53" i="17" s="1"/>
  <c r="U53" i="17"/>
  <c r="N34" i="40" l="1"/>
  <c r="G53" i="17"/>
  <c r="F43" i="17" l="1"/>
  <c r="O34" i="40"/>
  <c r="D10" i="29"/>
  <c r="B10" i="29"/>
  <c r="E9" i="29"/>
  <c r="B9" i="29"/>
  <c r="P34" i="40" l="1"/>
  <c r="B8" i="29"/>
  <c r="Q34" i="40" l="1"/>
  <c r="D7" i="29"/>
  <c r="B7" i="29"/>
  <c r="R34" i="40" l="1"/>
  <c r="B6" i="29"/>
  <c r="D5" i="29"/>
  <c r="B5" i="29"/>
  <c r="D4" i="29"/>
  <c r="B4" i="29"/>
  <c r="D3" i="29"/>
  <c r="B3" i="29"/>
  <c r="F2" i="29"/>
  <c r="E2" i="29"/>
  <c r="S34" i="40" l="1"/>
  <c r="C7" i="28"/>
  <c r="B7" i="28"/>
  <c r="T34" i="40" l="1"/>
  <c r="U34" i="40" s="1"/>
  <c r="V34" i="40" s="1"/>
  <c r="W34" i="40" s="1"/>
  <c r="B6" i="28"/>
  <c r="B5" i="28"/>
  <c r="C4" i="28" l="1"/>
  <c r="B4" i="28"/>
  <c r="C3" i="28" l="1"/>
  <c r="B3" i="28"/>
  <c r="D2" i="28"/>
  <c r="C7" i="27"/>
  <c r="B7" i="27"/>
  <c r="C6" i="27"/>
  <c r="B6" i="27"/>
  <c r="C5" i="27"/>
  <c r="B5" i="27"/>
  <c r="C4" i="27"/>
  <c r="B4" i="27"/>
  <c r="C3" i="27"/>
  <c r="B3" i="27"/>
  <c r="C2" i="27"/>
  <c r="B2" i="27"/>
  <c r="B6" i="26"/>
  <c r="B5" i="26"/>
  <c r="B4" i="26"/>
  <c r="B3" i="26"/>
  <c r="D2" i="26"/>
  <c r="C2" i="26"/>
  <c r="B2" i="26"/>
  <c r="B6" i="25"/>
  <c r="B5" i="25"/>
  <c r="B4" i="25"/>
  <c r="B3" i="25"/>
  <c r="D2" i="25"/>
  <c r="C2" i="25"/>
  <c r="B6" i="24" l="1"/>
  <c r="B5" i="24"/>
  <c r="B4" i="24"/>
  <c r="U3" i="24"/>
  <c r="T3" i="24"/>
  <c r="R3" i="24"/>
  <c r="Q3" i="24"/>
  <c r="P3" i="24"/>
  <c r="O3" i="24"/>
  <c r="N3" i="24"/>
  <c r="M3" i="24"/>
  <c r="L3" i="24"/>
  <c r="K3" i="24"/>
  <c r="J3" i="24"/>
  <c r="I3" i="24"/>
  <c r="H3" i="24"/>
  <c r="G3" i="24"/>
  <c r="F3" i="24"/>
  <c r="E3" i="24"/>
  <c r="D3" i="24"/>
  <c r="C3" i="24"/>
  <c r="B3" i="24"/>
  <c r="U2" i="24" l="1"/>
  <c r="T2" i="24"/>
  <c r="R2" i="24"/>
  <c r="Q2" i="24"/>
  <c r="P2" i="24"/>
  <c r="O2" i="24"/>
  <c r="N2" i="24"/>
  <c r="M2" i="24"/>
  <c r="L2" i="24"/>
  <c r="K2" i="24"/>
  <c r="J2" i="24"/>
  <c r="I2" i="24"/>
  <c r="H2" i="24"/>
  <c r="G2" i="24"/>
  <c r="F2" i="24"/>
  <c r="E2" i="24"/>
  <c r="D2" i="24"/>
  <c r="C2" i="24"/>
  <c r="B2" i="24"/>
  <c r="B7" i="23"/>
  <c r="C6" i="23"/>
  <c r="B6" i="23"/>
  <c r="F5" i="23"/>
  <c r="B5" i="23"/>
  <c r="F4" i="23"/>
  <c r="E4" i="23"/>
  <c r="B4" i="23"/>
  <c r="F3" i="23"/>
  <c r="E3" i="23"/>
  <c r="B3" i="23"/>
  <c r="F2" i="23"/>
  <c r="E2" i="23"/>
  <c r="D2" i="23"/>
  <c r="B2" i="23"/>
  <c r="C9" i="22"/>
  <c r="B9" i="22"/>
  <c r="T8" i="22"/>
  <c r="R8" i="22"/>
  <c r="Q8" i="22"/>
  <c r="P8" i="22"/>
  <c r="O8" i="22"/>
  <c r="N8" i="22"/>
  <c r="M8" i="22"/>
  <c r="L8" i="22"/>
  <c r="K8" i="22"/>
  <c r="J8" i="22"/>
  <c r="I8" i="22"/>
  <c r="H8" i="22"/>
  <c r="G8" i="22"/>
  <c r="F8" i="22"/>
  <c r="E8" i="22"/>
  <c r="D8" i="22"/>
  <c r="C8" i="22"/>
  <c r="B8" i="22"/>
  <c r="B7" i="22"/>
  <c r="T6" i="22"/>
  <c r="R6" i="22"/>
  <c r="Q6" i="22"/>
  <c r="P6" i="22"/>
  <c r="O6" i="22"/>
  <c r="N6" i="22"/>
  <c r="M6" i="22"/>
  <c r="L6" i="22"/>
  <c r="K6" i="22"/>
  <c r="J6" i="22"/>
  <c r="I6" i="22"/>
  <c r="H6" i="22"/>
  <c r="G6" i="22"/>
  <c r="F6" i="22"/>
  <c r="E6" i="22"/>
  <c r="D6" i="22"/>
  <c r="B6" i="22"/>
  <c r="C5" i="22"/>
  <c r="B5" i="22"/>
  <c r="C4" i="22"/>
  <c r="B4" i="22"/>
  <c r="C3" i="22"/>
  <c r="B3" i="22"/>
  <c r="D2" i="22"/>
  <c r="C2" i="22"/>
  <c r="B2" i="22"/>
  <c r="C10" i="21"/>
  <c r="B10" i="21"/>
  <c r="C9" i="21"/>
  <c r="B9" i="21"/>
  <c r="C8" i="21"/>
  <c r="B8" i="21"/>
  <c r="C7" i="21"/>
  <c r="B7" i="21"/>
  <c r="C6" i="21"/>
  <c r="B6" i="21"/>
  <c r="C5" i="21"/>
  <c r="B5" i="21"/>
  <c r="C4" i="21"/>
  <c r="B4" i="21"/>
  <c r="C3" i="21"/>
  <c r="B3" i="21"/>
  <c r="C2" i="21"/>
  <c r="B2" i="21"/>
  <c r="D6" i="20"/>
  <c r="C6" i="20"/>
  <c r="B6" i="20"/>
  <c r="D5" i="20"/>
  <c r="C5" i="20"/>
  <c r="B5" i="20"/>
  <c r="D4" i="20"/>
  <c r="C4" i="20"/>
  <c r="B4" i="20"/>
  <c r="D3" i="20"/>
  <c r="C3" i="20"/>
  <c r="B3" i="20"/>
  <c r="D2" i="20"/>
  <c r="C2" i="20"/>
  <c r="B2" i="20"/>
  <c r="C12" i="19"/>
  <c r="B12" i="19"/>
  <c r="C11" i="19"/>
  <c r="B11" i="19"/>
  <c r="C10" i="19"/>
  <c r="B10" i="19"/>
  <c r="C9" i="19"/>
  <c r="B9" i="19"/>
  <c r="C8" i="19"/>
  <c r="B8" i="19"/>
  <c r="D7" i="19"/>
  <c r="C7" i="19"/>
  <c r="B7" i="19"/>
  <c r="C6" i="19"/>
  <c r="B6" i="19"/>
  <c r="C5" i="19"/>
  <c r="B5" i="19"/>
  <c r="D4" i="19"/>
  <c r="C4" i="19"/>
  <c r="B4" i="19"/>
  <c r="D3" i="19"/>
  <c r="C3" i="19"/>
  <c r="B3" i="19"/>
  <c r="D2" i="19"/>
  <c r="B2" i="19"/>
  <c r="C11" i="11"/>
  <c r="C9" i="11"/>
  <c r="C10" i="11" l="1"/>
  <c r="C14" i="11" s="1"/>
  <c r="C12" i="11"/>
  <c r="C19" i="11"/>
  <c r="C13" i="11"/>
  <c r="C24" i="11"/>
  <c r="C23" i="11" l="1"/>
  <c r="C8" i="52" l="1"/>
  <c r="D8" i="52" s="1"/>
  <c r="D7" i="52"/>
  <c r="D8" i="42"/>
  <c r="E8" i="42" s="1"/>
  <c r="D9" i="52" l="1"/>
  <c r="F49" i="17" l="1"/>
  <c r="G49" i="17" s="1"/>
  <c r="C3" i="25"/>
  <c r="H64" i="17"/>
  <c r="I64" i="17" s="1"/>
  <c r="J64" i="17" s="1"/>
  <c r="H36" i="17"/>
  <c r="E2" i="22" l="1"/>
  <c r="D6" i="23"/>
  <c r="G89" i="17"/>
  <c r="G90" i="17" s="1"/>
  <c r="G93" i="17" s="1"/>
  <c r="E10" i="29" s="1"/>
  <c r="F2" i="26"/>
  <c r="E2" i="26"/>
  <c r="H49" i="17"/>
  <c r="H50" i="17" s="1"/>
  <c r="E6" i="23"/>
  <c r="I36" i="17"/>
  <c r="E6" i="29"/>
  <c r="C5" i="28"/>
  <c r="F60" i="17"/>
  <c r="G2" i="26"/>
  <c r="K64" i="17"/>
  <c r="H79" i="17"/>
  <c r="C6" i="28"/>
  <c r="W54" i="17" l="1"/>
  <c r="W55" i="17" s="1"/>
  <c r="W65" i="17" s="1"/>
  <c r="W67" i="17" s="1"/>
  <c r="V54" i="17"/>
  <c r="V55" i="17" s="1"/>
  <c r="V65" i="17" s="1"/>
  <c r="V67" i="17" s="1"/>
  <c r="X54" i="17"/>
  <c r="X55" i="17" s="1"/>
  <c r="X65" i="17" s="1"/>
  <c r="E7" i="29"/>
  <c r="J36" i="17"/>
  <c r="F6" i="23"/>
  <c r="F2" i="22"/>
  <c r="H2" i="29"/>
  <c r="F61" i="17"/>
  <c r="C4" i="25"/>
  <c r="E2" i="28"/>
  <c r="G2" i="29"/>
  <c r="D3" i="28"/>
  <c r="H80" i="17"/>
  <c r="L64" i="17"/>
  <c r="M64" i="17" s="1"/>
  <c r="N64" i="17" s="1"/>
  <c r="O64" i="17" s="1"/>
  <c r="P64" i="17" s="1"/>
  <c r="Q64" i="17" s="1"/>
  <c r="R64" i="17" s="1"/>
  <c r="S64" i="17" s="1"/>
  <c r="T64" i="17" s="1"/>
  <c r="U64" i="17" s="1"/>
  <c r="V64" i="17" s="1"/>
  <c r="W64" i="17" s="1"/>
  <c r="X64" i="17" s="1"/>
  <c r="H2" i="26"/>
  <c r="F7" i="23"/>
  <c r="F54" i="17"/>
  <c r="G54" i="17"/>
  <c r="H54" i="17"/>
  <c r="I54" i="17"/>
  <c r="J54" i="17"/>
  <c r="K54" i="17"/>
  <c r="L54" i="17"/>
  <c r="M54" i="17"/>
  <c r="N54" i="17"/>
  <c r="O54" i="17"/>
  <c r="P54" i="17"/>
  <c r="Q54" i="17"/>
  <c r="R54" i="17"/>
  <c r="S54" i="17"/>
  <c r="T54" i="17"/>
  <c r="U54" i="17"/>
  <c r="K36" i="17"/>
  <c r="G2" i="22" l="1"/>
  <c r="F2" i="28"/>
  <c r="G62" i="17"/>
  <c r="X66" i="17" s="1"/>
  <c r="X67" i="17" s="1"/>
  <c r="C5" i="25"/>
  <c r="G2" i="28"/>
  <c r="I2" i="29"/>
  <c r="U4" i="24"/>
  <c r="S55" i="17"/>
  <c r="S65" i="17" s="1"/>
  <c r="S67" i="17" s="1"/>
  <c r="P4" i="24"/>
  <c r="Q55" i="17"/>
  <c r="Q65" i="17" s="1"/>
  <c r="Q67" i="17" s="1"/>
  <c r="N4" i="24"/>
  <c r="O55" i="17"/>
  <c r="O65" i="17" s="1"/>
  <c r="O67" i="17" s="1"/>
  <c r="L4" i="24"/>
  <c r="K55" i="17"/>
  <c r="H4" i="24"/>
  <c r="I55" i="17"/>
  <c r="F4" i="24"/>
  <c r="H2" i="22"/>
  <c r="L36" i="17"/>
  <c r="T4" i="24"/>
  <c r="T55" i="17"/>
  <c r="T65" i="17" s="1"/>
  <c r="T67" i="17" s="1"/>
  <c r="Q4" i="24"/>
  <c r="R55" i="17"/>
  <c r="R65" i="17" s="1"/>
  <c r="R67" i="17" s="1"/>
  <c r="O4" i="24"/>
  <c r="P55" i="17"/>
  <c r="P65" i="17" s="1"/>
  <c r="P67" i="17" s="1"/>
  <c r="M4" i="24"/>
  <c r="N55" i="17"/>
  <c r="N65" i="17" s="1"/>
  <c r="N67" i="17" s="1"/>
  <c r="K4" i="24"/>
  <c r="L55" i="17"/>
  <c r="I4" i="24"/>
  <c r="J55" i="17"/>
  <c r="G4" i="24"/>
  <c r="H55" i="17"/>
  <c r="E4" i="24"/>
  <c r="F55" i="17"/>
  <c r="C4" i="24"/>
  <c r="U55" i="17"/>
  <c r="U65" i="17" s="1"/>
  <c r="U67" i="17" s="1"/>
  <c r="R4" i="24"/>
  <c r="M55" i="17"/>
  <c r="M65" i="17" s="1"/>
  <c r="M67" i="17" s="1"/>
  <c r="J4" i="24"/>
  <c r="G55" i="17"/>
  <c r="D4" i="24"/>
  <c r="I2" i="26"/>
  <c r="H81" i="17"/>
  <c r="H83" i="17"/>
  <c r="D4" i="28"/>
  <c r="U4" i="26" l="1"/>
  <c r="D6" i="25"/>
  <c r="D5" i="28"/>
  <c r="H82" i="17"/>
  <c r="I79" i="17" s="1"/>
  <c r="D5" i="24"/>
  <c r="G65" i="17"/>
  <c r="J5" i="24"/>
  <c r="R5" i="24"/>
  <c r="H65" i="17"/>
  <c r="E5" i="24"/>
  <c r="L65" i="17"/>
  <c r="I5" i="24"/>
  <c r="M5" i="24"/>
  <c r="M36" i="17"/>
  <c r="I2" i="22"/>
  <c r="J2" i="29"/>
  <c r="H2" i="28"/>
  <c r="I65" i="17"/>
  <c r="F5" i="24"/>
  <c r="H5" i="24"/>
  <c r="K65" i="17"/>
  <c r="L5" i="24"/>
  <c r="N5" i="24"/>
  <c r="P5" i="24"/>
  <c r="U5" i="24"/>
  <c r="H89" i="17"/>
  <c r="H92" i="17"/>
  <c r="F9" i="29" s="1"/>
  <c r="D7" i="28"/>
  <c r="J2" i="26"/>
  <c r="F65" i="17"/>
  <c r="F56" i="17"/>
  <c r="C6" i="24" s="1"/>
  <c r="C5" i="24"/>
  <c r="G5" i="24"/>
  <c r="J65" i="17"/>
  <c r="K5" i="24"/>
  <c r="O5" i="24"/>
  <c r="Q5" i="24"/>
  <c r="T5" i="24"/>
  <c r="I80" i="17" l="1"/>
  <c r="T5" i="26"/>
  <c r="T3" i="26"/>
  <c r="O5" i="26"/>
  <c r="O3" i="26"/>
  <c r="K5" i="26"/>
  <c r="K3" i="26"/>
  <c r="J67" i="17"/>
  <c r="G5" i="26" s="1"/>
  <c r="G3" i="26"/>
  <c r="F67" i="17"/>
  <c r="C3" i="26"/>
  <c r="K2" i="26"/>
  <c r="U5" i="26"/>
  <c r="U3" i="26"/>
  <c r="P5" i="26"/>
  <c r="P3" i="26"/>
  <c r="L5" i="26"/>
  <c r="L3" i="26"/>
  <c r="K67" i="17"/>
  <c r="H5" i="26" s="1"/>
  <c r="H3" i="26"/>
  <c r="K2" i="29"/>
  <c r="I2" i="28"/>
  <c r="M3" i="26"/>
  <c r="M5" i="26"/>
  <c r="I3" i="26"/>
  <c r="L67" i="17"/>
  <c r="I5" i="26" s="1"/>
  <c r="E3" i="26"/>
  <c r="H67" i="17"/>
  <c r="E5" i="26" s="1"/>
  <c r="R5" i="26"/>
  <c r="R3" i="26"/>
  <c r="J5" i="26"/>
  <c r="J3" i="26"/>
  <c r="Q5" i="26"/>
  <c r="Q3" i="26"/>
  <c r="H90" i="17"/>
  <c r="F6" i="29"/>
  <c r="N5" i="26"/>
  <c r="N3" i="26"/>
  <c r="I67" i="17"/>
  <c r="F5" i="26" s="1"/>
  <c r="F3" i="26"/>
  <c r="N36" i="17"/>
  <c r="J2" i="22"/>
  <c r="G67" i="17"/>
  <c r="D5" i="26" s="1"/>
  <c r="D3" i="26"/>
  <c r="D6" i="28"/>
  <c r="I83" i="17" l="1"/>
  <c r="I81" i="17"/>
  <c r="I82" i="17" s="1"/>
  <c r="J79" i="17" s="1"/>
  <c r="O36" i="17"/>
  <c r="K2" i="22"/>
  <c r="H93" i="17"/>
  <c r="F7" i="29"/>
  <c r="F68" i="17"/>
  <c r="C6" i="26" s="1"/>
  <c r="C5" i="26"/>
  <c r="E3" i="28"/>
  <c r="J2" i="28"/>
  <c r="L2" i="29"/>
  <c r="L2" i="26"/>
  <c r="J80" i="17" l="1"/>
  <c r="F10" i="29"/>
  <c r="L2" i="22"/>
  <c r="P36" i="17"/>
  <c r="M2" i="26"/>
  <c r="E4" i="28"/>
  <c r="K2" i="28"/>
  <c r="M2" i="29"/>
  <c r="J83" i="17" l="1"/>
  <c r="J81" i="17"/>
  <c r="J82" i="17" s="1"/>
  <c r="K79" i="17" s="1"/>
  <c r="I92" i="17"/>
  <c r="G9" i="29" s="1"/>
  <c r="E7" i="28"/>
  <c r="E5" i="28"/>
  <c r="N2" i="26"/>
  <c r="Q36" i="17"/>
  <c r="M2" i="22"/>
  <c r="N2" i="29"/>
  <c r="L2" i="28"/>
  <c r="I89" i="17"/>
  <c r="K80" i="17" l="1"/>
  <c r="I90" i="17"/>
  <c r="G6" i="29"/>
  <c r="R36" i="17"/>
  <c r="N2" i="22"/>
  <c r="E6" i="28"/>
  <c r="O2" i="29"/>
  <c r="M2" i="28"/>
  <c r="O2" i="26"/>
  <c r="K83" i="17" l="1"/>
  <c r="K92" i="17" s="1"/>
  <c r="K81" i="17"/>
  <c r="K82" i="17" s="1"/>
  <c r="L79" i="17" s="1"/>
  <c r="P2" i="26"/>
  <c r="F3" i="28"/>
  <c r="S36" i="17"/>
  <c r="O2" i="22"/>
  <c r="I93" i="17"/>
  <c r="G7" i="29"/>
  <c r="N2" i="28"/>
  <c r="P2" i="29"/>
  <c r="K89" i="17" l="1"/>
  <c r="K90" i="17" s="1"/>
  <c r="K93" i="17" s="1"/>
  <c r="L80" i="17"/>
  <c r="G10" i="29"/>
  <c r="O2" i="28"/>
  <c r="Q2" i="29"/>
  <c r="F4" i="28"/>
  <c r="Q2" i="26"/>
  <c r="P2" i="22"/>
  <c r="T36" i="17"/>
  <c r="L83" i="17" l="1"/>
  <c r="L92" i="17" s="1"/>
  <c r="L81" i="17"/>
  <c r="L82" i="17" s="1"/>
  <c r="M79" i="17" s="1"/>
  <c r="J92" i="17"/>
  <c r="H9" i="29" s="1"/>
  <c r="F7" i="28"/>
  <c r="U36" i="17"/>
  <c r="Q2" i="22"/>
  <c r="R2" i="29"/>
  <c r="P2" i="28"/>
  <c r="R2" i="26"/>
  <c r="F5" i="28"/>
  <c r="J89" i="17"/>
  <c r="L89" i="17" l="1"/>
  <c r="L90" i="17" s="1"/>
  <c r="L93" i="17" s="1"/>
  <c r="M80" i="17"/>
  <c r="V36" i="17"/>
  <c r="W36" i="17" s="1"/>
  <c r="J90" i="17"/>
  <c r="H6" i="29"/>
  <c r="R2" i="22"/>
  <c r="F6" i="28"/>
  <c r="S2" i="29"/>
  <c r="Q2" i="28"/>
  <c r="T2" i="26"/>
  <c r="U2" i="26"/>
  <c r="M83" i="17" l="1"/>
  <c r="M92" i="17" s="1"/>
  <c r="M81" i="17"/>
  <c r="M82" i="17" s="1"/>
  <c r="N79" i="17" s="1"/>
  <c r="X36" i="17"/>
  <c r="U2" i="22" s="1"/>
  <c r="T2" i="22"/>
  <c r="J93" i="17"/>
  <c r="H7" i="29"/>
  <c r="G3" i="28"/>
  <c r="R2" i="28"/>
  <c r="T2" i="29"/>
  <c r="M89" i="17" l="1"/>
  <c r="M90" i="17" s="1"/>
  <c r="M93" i="17" s="1"/>
  <c r="N80" i="17"/>
  <c r="G4" i="28"/>
  <c r="H10" i="29"/>
  <c r="T2" i="28"/>
  <c r="V2" i="29"/>
  <c r="N81" i="17" l="1"/>
  <c r="N82" i="17" s="1"/>
  <c r="O79" i="17" s="1"/>
  <c r="N83" i="17"/>
  <c r="N92" i="17" s="1"/>
  <c r="G5" i="28"/>
  <c r="I9" i="29"/>
  <c r="G7" i="28"/>
  <c r="N89" i="17" l="1"/>
  <c r="N90" i="17" s="1"/>
  <c r="N93" i="17" s="1"/>
  <c r="O80" i="17"/>
  <c r="I6" i="29"/>
  <c r="G6" i="28"/>
  <c r="O81" i="17" l="1"/>
  <c r="O82" i="17" s="1"/>
  <c r="P79" i="17" s="1"/>
  <c r="O83" i="17"/>
  <c r="O92" i="17" s="1"/>
  <c r="I7" i="29"/>
  <c r="H3" i="28"/>
  <c r="O89" i="17" l="1"/>
  <c r="O90" i="17" s="1"/>
  <c r="O93" i="17" s="1"/>
  <c r="P80" i="17"/>
  <c r="H4" i="28"/>
  <c r="I10" i="29"/>
  <c r="P81" i="17" l="1"/>
  <c r="P82" i="17" s="1"/>
  <c r="Q79" i="17" s="1"/>
  <c r="P83" i="17"/>
  <c r="P92" i="17" s="1"/>
  <c r="J6" i="29"/>
  <c r="J9" i="29"/>
  <c r="H7" i="28"/>
  <c r="H5" i="28"/>
  <c r="P89" i="17" l="1"/>
  <c r="P90" i="17" s="1"/>
  <c r="P93" i="17" s="1"/>
  <c r="Q80" i="17"/>
  <c r="J7" i="29"/>
  <c r="H6" i="28"/>
  <c r="Q81" i="17" l="1"/>
  <c r="Q82" i="17" s="1"/>
  <c r="R79" i="17" s="1"/>
  <c r="Q83" i="17"/>
  <c r="Q92" i="17" s="1"/>
  <c r="J10" i="29"/>
  <c r="I3" i="28"/>
  <c r="Q89" i="17" l="1"/>
  <c r="Q90" i="17" s="1"/>
  <c r="Q93" i="17" s="1"/>
  <c r="R80" i="17"/>
  <c r="I4" i="28"/>
  <c r="R81" i="17" l="1"/>
  <c r="R82" i="17" s="1"/>
  <c r="S79" i="17" s="1"/>
  <c r="R83" i="17"/>
  <c r="R92" i="17" s="1"/>
  <c r="I5" i="28"/>
  <c r="K9" i="29"/>
  <c r="I7" i="28"/>
  <c r="R89" i="17" l="1"/>
  <c r="R90" i="17" s="1"/>
  <c r="R93" i="17" s="1"/>
  <c r="S80" i="17"/>
  <c r="I6" i="28"/>
  <c r="K6" i="29"/>
  <c r="S81" i="17" l="1"/>
  <c r="S82" i="17" s="1"/>
  <c r="T79" i="17" s="1"/>
  <c r="S83" i="17"/>
  <c r="S92" i="17" s="1"/>
  <c r="J3" i="28"/>
  <c r="K10" i="29"/>
  <c r="K7" i="29"/>
  <c r="S89" i="17" l="1"/>
  <c r="S90" i="17" s="1"/>
  <c r="S93" i="17" s="1"/>
  <c r="T80" i="17"/>
  <c r="J4" i="28"/>
  <c r="T83" i="17" l="1"/>
  <c r="T92" i="17" s="1"/>
  <c r="T81" i="17"/>
  <c r="T82" i="17" s="1"/>
  <c r="U79" i="17" s="1"/>
  <c r="J5" i="28"/>
  <c r="J7" i="28"/>
  <c r="L9" i="29"/>
  <c r="T89" i="17" l="1"/>
  <c r="T90" i="17" s="1"/>
  <c r="T93" i="17" s="1"/>
  <c r="U80" i="17"/>
  <c r="J6" i="28"/>
  <c r="L6" i="29"/>
  <c r="U83" i="17" l="1"/>
  <c r="U92" i="17" s="1"/>
  <c r="U81" i="17"/>
  <c r="U82" i="17" s="1"/>
  <c r="V79" i="17" s="1"/>
  <c r="L10" i="29"/>
  <c r="L7" i="29"/>
  <c r="K3" i="28"/>
  <c r="U89" i="17" l="1"/>
  <c r="U90" i="17" s="1"/>
  <c r="U93" i="17" s="1"/>
  <c r="V80" i="17"/>
  <c r="K4" i="28"/>
  <c r="V83" i="17" l="1"/>
  <c r="V92" i="17" s="1"/>
  <c r="V81" i="17"/>
  <c r="V82" i="17" s="1"/>
  <c r="W79" i="17" s="1"/>
  <c r="M9" i="29"/>
  <c r="K7" i="28"/>
  <c r="K5" i="28"/>
  <c r="V89" i="17" l="1"/>
  <c r="V90" i="17" s="1"/>
  <c r="V93" i="17" s="1"/>
  <c r="W80" i="17"/>
  <c r="K6" i="28"/>
  <c r="M6" i="29"/>
  <c r="W83" i="17" l="1"/>
  <c r="W92" i="17" s="1"/>
  <c r="W81" i="17"/>
  <c r="W82" i="17" s="1"/>
  <c r="X79" i="17" s="1"/>
  <c r="M7" i="29"/>
  <c r="M10" i="29"/>
  <c r="L3" i="28"/>
  <c r="W89" i="17" l="1"/>
  <c r="W90" i="17" s="1"/>
  <c r="W93" i="17" s="1"/>
  <c r="X80" i="17"/>
  <c r="L4" i="28"/>
  <c r="X83" i="17" l="1"/>
  <c r="X92" i="17" s="1"/>
  <c r="X81" i="17"/>
  <c r="X82" i="17" s="1"/>
  <c r="N6" i="29"/>
  <c r="N9" i="29"/>
  <c r="L7" i="28"/>
  <c r="L5" i="28"/>
  <c r="X89" i="17" l="1"/>
  <c r="X90" i="17" s="1"/>
  <c r="X93" i="17" s="1"/>
  <c r="L6" i="28"/>
  <c r="N10" i="29"/>
  <c r="N7" i="29"/>
  <c r="M3" i="28" l="1"/>
  <c r="M4" i="28" l="1"/>
  <c r="O6" i="29" l="1"/>
  <c r="O9" i="29"/>
  <c r="M7" i="28"/>
  <c r="M5" i="28"/>
  <c r="M6" i="28" l="1"/>
  <c r="O10" i="29"/>
  <c r="O7" i="29"/>
  <c r="N3" i="28" l="1"/>
  <c r="N4" i="28" l="1"/>
  <c r="P9" i="29" l="1"/>
  <c r="N7" i="28"/>
  <c r="P6" i="29"/>
  <c r="N5" i="28"/>
  <c r="N6" i="28" l="1"/>
  <c r="P10" i="29"/>
  <c r="P7" i="29"/>
  <c r="O3" i="28" l="1"/>
  <c r="O4" i="28" l="1"/>
  <c r="Q6" i="29" l="1"/>
  <c r="Q9" i="29"/>
  <c r="O7" i="28"/>
  <c r="O5" i="28"/>
  <c r="O6" i="28" l="1"/>
  <c r="Q7" i="29"/>
  <c r="Q10" i="29"/>
  <c r="P3" i="28" l="1"/>
  <c r="P4" i="28" l="1"/>
  <c r="R6" i="29" l="1"/>
  <c r="R9" i="29"/>
  <c r="P7" i="28"/>
  <c r="P5" i="28"/>
  <c r="P6" i="28" l="1"/>
  <c r="R10" i="29"/>
  <c r="R7" i="29"/>
  <c r="Q3" i="28" l="1"/>
  <c r="Q4" i="28" l="1"/>
  <c r="S6" i="29" l="1"/>
  <c r="S9" i="29"/>
  <c r="Q7" i="28"/>
  <c r="Q5" i="28"/>
  <c r="Q6" i="28" l="1"/>
  <c r="S10" i="29"/>
  <c r="S7" i="29"/>
  <c r="R3" i="28" l="1"/>
  <c r="R4" i="28" l="1"/>
  <c r="T9" i="29" l="1"/>
  <c r="R7" i="28"/>
  <c r="R5" i="28"/>
  <c r="R6" i="28" l="1"/>
  <c r="T6" i="29"/>
  <c r="T10" i="29" l="1"/>
  <c r="T7" i="29"/>
  <c r="T3" i="28"/>
  <c r="T4" i="28" l="1"/>
  <c r="V9" i="29" l="1"/>
  <c r="T7" i="28"/>
  <c r="T5" i="28"/>
  <c r="T6" i="28" l="1"/>
  <c r="V6" i="29"/>
  <c r="V7" i="29" l="1"/>
  <c r="V10" i="29"/>
  <c r="E91" i="17" l="1"/>
  <c r="C8" i="29" s="1"/>
  <c r="E94" i="17" l="1"/>
  <c r="C11" i="29" s="1"/>
  <c r="E36" i="40"/>
  <c r="E37" i="40"/>
  <c r="D20" i="40"/>
  <c r="D19" i="40"/>
  <c r="D21" i="40" s="1"/>
  <c r="F45" i="40"/>
  <c r="E60" i="40"/>
  <c r="D30" i="42" s="1"/>
  <c r="E59" i="40"/>
  <c r="D29" i="42" s="1"/>
  <c r="G50" i="40"/>
  <c r="H50" i="40" s="1"/>
  <c r="I50" i="40" s="1"/>
  <c r="J50" i="40" s="1"/>
  <c r="K50" i="40" s="1"/>
  <c r="L50" i="40" s="1"/>
  <c r="M50" i="40" s="1"/>
  <c r="N50" i="40" s="1"/>
  <c r="O50" i="40" s="1"/>
  <c r="P50" i="40" s="1"/>
  <c r="Q50" i="40" s="1"/>
  <c r="R50" i="40" s="1"/>
  <c r="S50" i="40" s="1"/>
  <c r="G64" i="40"/>
  <c r="H64" i="40" s="1"/>
  <c r="I64" i="40" s="1"/>
  <c r="J64" i="40" s="1"/>
  <c r="K64" i="40" s="1"/>
  <c r="L64" i="40" s="1"/>
  <c r="M64" i="40" s="1"/>
  <c r="N64" i="40" s="1"/>
  <c r="O64" i="40" s="1"/>
  <c r="P64" i="40" s="1"/>
  <c r="Q64" i="40" s="1"/>
  <c r="R64" i="40" s="1"/>
  <c r="S64" i="40" s="1"/>
  <c r="T64" i="40" l="1"/>
  <c r="U64" i="40" s="1"/>
  <c r="V64" i="40" s="1"/>
  <c r="W64" i="40" s="1"/>
  <c r="T50" i="40"/>
  <c r="U50" i="40" s="1"/>
  <c r="V50" i="40" s="1"/>
  <c r="W50" i="40" s="1"/>
  <c r="G45" i="40"/>
  <c r="D22" i="42"/>
  <c r="E40" i="40"/>
  <c r="D11" i="42" s="1"/>
  <c r="C5" i="57"/>
  <c r="C5" i="54"/>
  <c r="E61" i="40"/>
  <c r="F62" i="40" s="1"/>
  <c r="C4" i="57"/>
  <c r="C6" i="57" s="1"/>
  <c r="D31" i="42"/>
  <c r="D22" i="40"/>
  <c r="C3" i="53"/>
  <c r="V38" i="40" l="1"/>
  <c r="V40" i="40" s="1"/>
  <c r="V51" i="40" s="1"/>
  <c r="W38" i="40"/>
  <c r="W40" i="40" s="1"/>
  <c r="W51" i="40" s="1"/>
  <c r="U38" i="40"/>
  <c r="U40" i="40" s="1"/>
  <c r="U51" i="40" s="1"/>
  <c r="E32" i="42"/>
  <c r="W66" i="40"/>
  <c r="E51" i="40"/>
  <c r="I38" i="40"/>
  <c r="I40" i="40" s="1"/>
  <c r="D5" i="54"/>
  <c r="E22" i="42"/>
  <c r="N38" i="40"/>
  <c r="N40" i="40" s="1"/>
  <c r="L38" i="40"/>
  <c r="L40" i="40" s="1"/>
  <c r="P38" i="40"/>
  <c r="P40" i="40" s="1"/>
  <c r="J38" i="40"/>
  <c r="J40" i="40" s="1"/>
  <c r="F38" i="40"/>
  <c r="E24" i="40"/>
  <c r="E28" i="40" s="1"/>
  <c r="E29" i="40" s="1"/>
  <c r="E30" i="40" s="1"/>
  <c r="H38" i="40"/>
  <c r="H40" i="40" s="1"/>
  <c r="S38" i="40"/>
  <c r="S40" i="40" s="1"/>
  <c r="O38" i="40"/>
  <c r="O40" i="40" s="1"/>
  <c r="K38" i="40"/>
  <c r="K40" i="40" s="1"/>
  <c r="T38" i="40"/>
  <c r="T40" i="40" s="1"/>
  <c r="G38" i="40"/>
  <c r="G40" i="40" s="1"/>
  <c r="R38" i="40"/>
  <c r="R40" i="40" s="1"/>
  <c r="D7" i="57"/>
  <c r="Q38" i="40"/>
  <c r="Q40" i="40" s="1"/>
  <c r="M38" i="40"/>
  <c r="M40" i="40" s="1"/>
  <c r="F44" i="40" l="1"/>
  <c r="F40" i="40"/>
  <c r="F51" i="40" s="1"/>
  <c r="I51" i="40"/>
  <c r="G51" i="40"/>
  <c r="O51" i="40"/>
  <c r="L51" i="40"/>
  <c r="T51" i="40"/>
  <c r="Q51" i="40"/>
  <c r="M51" i="40"/>
  <c r="K51" i="40"/>
  <c r="S51" i="40"/>
  <c r="H51" i="40"/>
  <c r="P51" i="40"/>
  <c r="J51" i="40"/>
  <c r="N51" i="40"/>
  <c r="R51" i="40"/>
  <c r="C4" i="54" l="1"/>
  <c r="G44" i="40"/>
  <c r="D21" i="42"/>
  <c r="E41" i="40"/>
  <c r="D12" i="42" s="1"/>
  <c r="E21" i="42" l="1"/>
  <c r="E25" i="42" s="1"/>
  <c r="G46" i="40"/>
  <c r="G48" i="40" s="1"/>
  <c r="D4" i="54"/>
  <c r="D8" i="54" s="1"/>
  <c r="D35" i="42"/>
  <c r="C4" i="53"/>
  <c r="W54" i="40" l="1"/>
  <c r="W55" i="40" s="1"/>
  <c r="W65" i="40" s="1"/>
  <c r="W67" i="40" s="1"/>
  <c r="U54" i="40"/>
  <c r="U55" i="40" s="1"/>
  <c r="U65" i="40" s="1"/>
  <c r="U67" i="40" s="1"/>
  <c r="V54" i="40"/>
  <c r="V55" i="40" s="1"/>
  <c r="V65" i="40" s="1"/>
  <c r="V67" i="40" s="1"/>
  <c r="S54" i="40"/>
  <c r="E54" i="40"/>
  <c r="O54" i="40"/>
  <c r="H54" i="40"/>
  <c r="N54" i="40"/>
  <c r="P54" i="40"/>
  <c r="R54" i="40"/>
  <c r="M54" i="40"/>
  <c r="F54" i="40"/>
  <c r="Q54" i="40"/>
  <c r="J54" i="40"/>
  <c r="L54" i="40"/>
  <c r="G54" i="40"/>
  <c r="I54" i="40"/>
  <c r="K54" i="40"/>
  <c r="T54" i="40"/>
  <c r="C3" i="55"/>
  <c r="J55" i="40" l="1"/>
  <c r="Q55" i="40"/>
  <c r="T55" i="40"/>
  <c r="H55" i="40"/>
  <c r="F55" i="40"/>
  <c r="N55" i="40"/>
  <c r="I55" i="40"/>
  <c r="D15" i="42"/>
  <c r="C7" i="53"/>
  <c r="E55" i="40"/>
  <c r="M55" i="40"/>
  <c r="P55" i="40"/>
  <c r="R55" i="40"/>
  <c r="K55" i="40"/>
  <c r="O55" i="40"/>
  <c r="G55" i="40"/>
  <c r="L55" i="40"/>
  <c r="S55" i="40"/>
  <c r="L65" i="40" l="1"/>
  <c r="M65" i="40"/>
  <c r="T65" i="40"/>
  <c r="P65" i="40"/>
  <c r="O65" i="40"/>
  <c r="D16" i="42"/>
  <c r="E56" i="40"/>
  <c r="E65" i="40"/>
  <c r="C8" i="53"/>
  <c r="N65" i="40"/>
  <c r="G65" i="40"/>
  <c r="F65" i="40"/>
  <c r="H65" i="40"/>
  <c r="K65" i="40"/>
  <c r="Q65" i="40"/>
  <c r="S65" i="40"/>
  <c r="R65" i="40"/>
  <c r="I65" i="40"/>
  <c r="J65" i="40"/>
  <c r="P67" i="40" l="1"/>
  <c r="N67" i="40"/>
  <c r="T67" i="40"/>
  <c r="S67" i="40"/>
  <c r="Q67" i="40"/>
  <c r="E67" i="40"/>
  <c r="M67" i="40"/>
  <c r="O67" i="40"/>
  <c r="R67" i="40"/>
  <c r="F67" i="40"/>
  <c r="J67" i="40"/>
  <c r="K67" i="40"/>
  <c r="I67" i="40"/>
  <c r="H67" i="40"/>
  <c r="G67" i="40"/>
  <c r="D17" i="42"/>
  <c r="D36" i="42" s="1"/>
  <c r="C4" i="55" s="1"/>
  <c r="C9" i="53"/>
  <c r="L67" i="40"/>
  <c r="E68" i="40" l="1"/>
  <c r="D20" i="41"/>
  <c r="D19" i="41"/>
  <c r="D21" i="41" s="1"/>
  <c r="F45" i="41"/>
  <c r="G45" i="41" s="1"/>
  <c r="E60" i="41"/>
  <c r="E61" i="41" s="1"/>
  <c r="F62" i="41" s="1"/>
  <c r="W66" i="41" s="1"/>
  <c r="G50" i="41"/>
  <c r="H50" i="41" s="1"/>
  <c r="I50" i="41" s="1"/>
  <c r="J50" i="41" s="1"/>
  <c r="K50" i="41" s="1"/>
  <c r="L50" i="41" s="1"/>
  <c r="M50" i="41" s="1"/>
  <c r="N50" i="41" s="1"/>
  <c r="O50" i="41" s="1"/>
  <c r="P50" i="41" s="1"/>
  <c r="Q50" i="41" s="1"/>
  <c r="R50" i="41" s="1"/>
  <c r="S50" i="41" s="1"/>
  <c r="H64" i="41"/>
  <c r="I64" i="41" s="1"/>
  <c r="J64" i="41" s="1"/>
  <c r="K64" i="41" s="1"/>
  <c r="L64" i="41" s="1"/>
  <c r="M64" i="41" s="1"/>
  <c r="N64" i="41" s="1"/>
  <c r="O64" i="41" s="1"/>
  <c r="P64" i="41" s="1"/>
  <c r="Q64" i="41" s="1"/>
  <c r="R64" i="41" s="1"/>
  <c r="S64" i="41" s="1"/>
  <c r="G34" i="41"/>
  <c r="H34" i="41" s="1"/>
  <c r="I34" i="41" s="1"/>
  <c r="J34" i="41" s="1"/>
  <c r="K34" i="41" s="1"/>
  <c r="L34" i="41" s="1"/>
  <c r="M34" i="41" s="1"/>
  <c r="N34" i="41" s="1"/>
  <c r="O34" i="41" s="1"/>
  <c r="P34" i="41" s="1"/>
  <c r="Q34" i="41" s="1"/>
  <c r="R34" i="41" s="1"/>
  <c r="S34" i="41" s="1"/>
  <c r="T34" i="41" l="1"/>
  <c r="U34" i="41" s="1"/>
  <c r="V34" i="41" s="1"/>
  <c r="W34" i="41" s="1"/>
  <c r="T50" i="41"/>
  <c r="U50" i="41" s="1"/>
  <c r="V50" i="41" s="1"/>
  <c r="W50" i="41" s="1"/>
  <c r="T64" i="41"/>
  <c r="U64" i="41" s="1"/>
  <c r="V64" i="41" s="1"/>
  <c r="W64" i="41" s="1"/>
  <c r="D37" i="42"/>
  <c r="C5" i="55" s="1"/>
  <c r="E40" i="41"/>
  <c r="E11" i="42" s="1"/>
  <c r="F22" i="42"/>
  <c r="E5" i="54"/>
  <c r="D22" i="41"/>
  <c r="E5" i="57"/>
  <c r="E6" i="57" s="1"/>
  <c r="F30" i="42"/>
  <c r="F31" i="42" s="1"/>
  <c r="F7" i="57"/>
  <c r="G32" i="42"/>
  <c r="G22" i="42"/>
  <c r="F5" i="54"/>
  <c r="V38" i="41" l="1"/>
  <c r="V40" i="41" s="1"/>
  <c r="V51" i="41" s="1"/>
  <c r="U38" i="41"/>
  <c r="U40" i="41" s="1"/>
  <c r="U51" i="41" s="1"/>
  <c r="W38" i="41"/>
  <c r="W40" i="41" s="1"/>
  <c r="W51" i="41" s="1"/>
  <c r="F38" i="41"/>
  <c r="D3" i="53"/>
  <c r="E51" i="41"/>
  <c r="O38" i="41"/>
  <c r="M38" i="41"/>
  <c r="M40" i="41" s="1"/>
  <c r="M51" i="41" s="1"/>
  <c r="K38" i="41"/>
  <c r="K40" i="41" s="1"/>
  <c r="K51" i="41" s="1"/>
  <c r="I38" i="41"/>
  <c r="I40" i="41" s="1"/>
  <c r="I51" i="41" s="1"/>
  <c r="S38" i="41"/>
  <c r="S40" i="41" s="1"/>
  <c r="S51" i="41" s="1"/>
  <c r="Q38" i="41"/>
  <c r="Q40" i="41" s="1"/>
  <c r="Q51" i="41" s="1"/>
  <c r="G38" i="41"/>
  <c r="G40" i="41" s="1"/>
  <c r="G51" i="41" s="1"/>
  <c r="E24" i="41"/>
  <c r="E28" i="41" s="1"/>
  <c r="E29" i="41" s="1"/>
  <c r="E30" i="41" s="1"/>
  <c r="T38" i="41"/>
  <c r="T40" i="41" s="1"/>
  <c r="T51" i="41" s="1"/>
  <c r="R38" i="41"/>
  <c r="R40" i="41" s="1"/>
  <c r="R51" i="41" s="1"/>
  <c r="P38" i="41"/>
  <c r="P40" i="41" s="1"/>
  <c r="P51" i="41" s="1"/>
  <c r="N38" i="41"/>
  <c r="N40" i="41" s="1"/>
  <c r="N51" i="41" s="1"/>
  <c r="L38" i="41"/>
  <c r="L40" i="41" s="1"/>
  <c r="L51" i="41" s="1"/>
  <c r="J38" i="41"/>
  <c r="J40" i="41" s="1"/>
  <c r="J51" i="41" s="1"/>
  <c r="H38" i="41"/>
  <c r="H40" i="41" s="1"/>
  <c r="H51" i="41" s="1"/>
  <c r="O40" i="41"/>
  <c r="O51" i="41" s="1"/>
  <c r="F44" i="41" l="1"/>
  <c r="F40" i="41"/>
  <c r="F51" i="41" s="1"/>
  <c r="E41" i="41"/>
  <c r="E12" i="42" s="1"/>
  <c r="G44" i="41" l="1"/>
  <c r="F21" i="42"/>
  <c r="E4" i="54"/>
  <c r="E35" i="42"/>
  <c r="D4" i="53"/>
  <c r="F4" i="54" l="1"/>
  <c r="F8" i="54" s="1"/>
  <c r="G46" i="41"/>
  <c r="G48" i="41" s="1"/>
  <c r="G21" i="42"/>
  <c r="G25" i="42" s="1"/>
  <c r="F35" i="42"/>
  <c r="E3" i="55" s="1"/>
  <c r="D3" i="55"/>
  <c r="V54" i="41" l="1"/>
  <c r="V55" i="41" s="1"/>
  <c r="V65" i="41" s="1"/>
  <c r="V67" i="41" s="1"/>
  <c r="U54" i="41"/>
  <c r="U55" i="41" s="1"/>
  <c r="U65" i="41" s="1"/>
  <c r="U67" i="41" s="1"/>
  <c r="W54" i="41"/>
  <c r="W55" i="41" s="1"/>
  <c r="W65" i="41" s="1"/>
  <c r="W67" i="41" s="1"/>
  <c r="K54" i="41"/>
  <c r="K55" i="41" s="1"/>
  <c r="K65" i="41" s="1"/>
  <c r="K67" i="41" s="1"/>
  <c r="L54" i="41"/>
  <c r="L55" i="41" s="1"/>
  <c r="L65" i="41" s="1"/>
  <c r="L67" i="41" s="1"/>
  <c r="O54" i="41"/>
  <c r="O55" i="41" s="1"/>
  <c r="O65" i="41" s="1"/>
  <c r="O67" i="41" s="1"/>
  <c r="N54" i="41"/>
  <c r="N55" i="41" s="1"/>
  <c r="N65" i="41" s="1"/>
  <c r="N67" i="41" s="1"/>
  <c r="M54" i="41"/>
  <c r="M55" i="41" s="1"/>
  <c r="M65" i="41" s="1"/>
  <c r="M67" i="41" s="1"/>
  <c r="P54" i="41"/>
  <c r="P55" i="41" s="1"/>
  <c r="P65" i="41" s="1"/>
  <c r="P67" i="41" s="1"/>
  <c r="E54" i="41"/>
  <c r="Q54" i="41"/>
  <c r="Q55" i="41" s="1"/>
  <c r="Q65" i="41" s="1"/>
  <c r="Q67" i="41" s="1"/>
  <c r="F54" i="41"/>
  <c r="F55" i="41" s="1"/>
  <c r="F65" i="41" s="1"/>
  <c r="F67" i="41" s="1"/>
  <c r="R54" i="41"/>
  <c r="R55" i="41" s="1"/>
  <c r="R65" i="41" s="1"/>
  <c r="R67" i="41" s="1"/>
  <c r="G54" i="41"/>
  <c r="G55" i="41" s="1"/>
  <c r="G65" i="41" s="1"/>
  <c r="G67" i="41" s="1"/>
  <c r="S54" i="41"/>
  <c r="S55" i="41" s="1"/>
  <c r="S65" i="41" s="1"/>
  <c r="S67" i="41" s="1"/>
  <c r="H54" i="41"/>
  <c r="H55" i="41" s="1"/>
  <c r="H65" i="41" s="1"/>
  <c r="H67" i="41" s="1"/>
  <c r="I54" i="41"/>
  <c r="I55" i="41" s="1"/>
  <c r="I65" i="41" s="1"/>
  <c r="I67" i="41" s="1"/>
  <c r="J54" i="41"/>
  <c r="J55" i="41" s="1"/>
  <c r="J65" i="41" s="1"/>
  <c r="J67" i="41" s="1"/>
  <c r="T54" i="41"/>
  <c r="T55" i="41" s="1"/>
  <c r="T65" i="41" s="1"/>
  <c r="T67" i="41" s="1"/>
  <c r="E15" i="42" l="1"/>
  <c r="E55" i="41"/>
  <c r="D7" i="53"/>
  <c r="E65" i="41" l="1"/>
  <c r="E67" i="41" s="1"/>
  <c r="E68" i="41" s="1"/>
  <c r="E37" i="42" s="1"/>
  <c r="E56" i="41"/>
  <c r="D8" i="53"/>
  <c r="E8" i="53" s="1"/>
  <c r="E16" i="42"/>
  <c r="F16" i="42" s="1"/>
  <c r="D9" i="53" l="1"/>
  <c r="E9" i="53" s="1"/>
  <c r="E17" i="42"/>
  <c r="F37" i="42"/>
  <c r="E5" i="55" s="1"/>
  <c r="D5" i="55"/>
  <c r="C20" i="11"/>
  <c r="C22" i="11" s="1"/>
  <c r="C16" i="11"/>
  <c r="C17" i="11"/>
  <c r="C18" i="11"/>
  <c r="F17" i="42" l="1"/>
  <c r="E36" i="42"/>
  <c r="F36" i="42" l="1"/>
  <c r="E4" i="55" s="1"/>
  <c r="D4" i="55"/>
</calcChain>
</file>

<file path=xl/sharedStrings.xml><?xml version="1.0" encoding="utf-8"?>
<sst xmlns="http://schemas.openxmlformats.org/spreadsheetml/2006/main" count="438" uniqueCount="204">
  <si>
    <t>Interessi</t>
  </si>
  <si>
    <t>Canone medio IRAP</t>
  </si>
  <si>
    <t>Riscatto</t>
  </si>
  <si>
    <t>a</t>
  </si>
  <si>
    <t>b</t>
  </si>
  <si>
    <t>c</t>
  </si>
  <si>
    <t>Totale</t>
  </si>
  <si>
    <t xml:space="preserve">Fuori Campo </t>
  </si>
  <si>
    <t>Acquisto di aree edificabili (o grezzo non accatastato) da privati o da soggetti non IVA</t>
  </si>
  <si>
    <t>Imponibile</t>
  </si>
  <si>
    <t>Acquisto di aree edificabili (o grezzo non accatastato) da venditore con IVA</t>
  </si>
  <si>
    <t xml:space="preserve">Fuori campo  </t>
  </si>
  <si>
    <t>Acquisto da privati o da soggetti non IVA</t>
  </si>
  <si>
    <t>Esente</t>
  </si>
  <si>
    <t>Acquisto da venditore con IVA esente</t>
  </si>
  <si>
    <t>Acquisto da venditore con IVA</t>
  </si>
  <si>
    <t>IMPOSTE IPOCATASTALI</t>
  </si>
  <si>
    <t>IMPOSTA DI REGISTRO</t>
  </si>
  <si>
    <t>REGIME IVA</t>
  </si>
  <si>
    <t>TIPOLOGIA DI ACQUISTO</t>
  </si>
  <si>
    <t>Prezzo del bene (società di leasing)</t>
  </si>
  <si>
    <t>Canone mensile</t>
  </si>
  <si>
    <t>Numero canone mensili</t>
  </si>
  <si>
    <t>Durata in anni</t>
  </si>
  <si>
    <t xml:space="preserve">di cui quota capitale </t>
  </si>
  <si>
    <t xml:space="preserve">di cui quota interessi </t>
  </si>
  <si>
    <t xml:space="preserve">di cui quota capitale riferita al terreno </t>
  </si>
  <si>
    <t>di cui quota capitale riferita al fabbricato</t>
  </si>
  <si>
    <t xml:space="preserve">Costo totale del leasing </t>
  </si>
  <si>
    <t>Quota capitale di competenza dell’esercizio</t>
  </si>
  <si>
    <t>d</t>
  </si>
  <si>
    <t>e</t>
  </si>
  <si>
    <t>IRES</t>
  </si>
  <si>
    <t>IRAP</t>
  </si>
  <si>
    <t>Canone medio fiscale IRES</t>
  </si>
  <si>
    <t>Risparmio Fiscale IRES</t>
  </si>
  <si>
    <t>f</t>
  </si>
  <si>
    <t>g</t>
  </si>
  <si>
    <t>q = l + p</t>
  </si>
  <si>
    <t>Canone medio fiscale IRAP</t>
  </si>
  <si>
    <t>Quota capitale fiscalmente deducibile IRES</t>
  </si>
  <si>
    <t>Totale Canoni fiscalmente deducibile IRES</t>
  </si>
  <si>
    <t>Valore fiscale del riscatto</t>
  </si>
  <si>
    <t>di cui quota fabbricato</t>
  </si>
  <si>
    <t>di cui quota terreno</t>
  </si>
  <si>
    <t>h= e+ f * g</t>
  </si>
  <si>
    <t>i = c - d</t>
  </si>
  <si>
    <t>k = i - j</t>
  </si>
  <si>
    <t>l = h - i</t>
  </si>
  <si>
    <t>m = i / b</t>
  </si>
  <si>
    <t>n = m * a</t>
  </si>
  <si>
    <t>o = m - n</t>
  </si>
  <si>
    <t>p = i * a</t>
  </si>
  <si>
    <t>t = d + j</t>
  </si>
  <si>
    <t>Canone annuale</t>
  </si>
  <si>
    <t>Fabbricato commerciale (Aliquota terreno)</t>
  </si>
  <si>
    <t>j = i * a</t>
  </si>
  <si>
    <t>r = q / (g+1)</t>
  </si>
  <si>
    <t>r = k / (g+1)</t>
  </si>
  <si>
    <t xml:space="preserve">Maxicanone </t>
  </si>
  <si>
    <t>IPOTESI</t>
  </si>
  <si>
    <t>Costo contrattuale del Leasing</t>
  </si>
  <si>
    <t>Costo del Leasing (pre - CGTL riscatto)</t>
  </si>
  <si>
    <t>DETERMINAZIONE DEL CANONE</t>
  </si>
  <si>
    <t>Importo finanziato da ammortizzare</t>
  </si>
  <si>
    <t>(prezzo del bene - canone iniziale - opzione di riscatto)</t>
  </si>
  <si>
    <t xml:space="preserve">Costo Netto del Leasing </t>
  </si>
  <si>
    <t>Importo finanziato bullet</t>
  </si>
  <si>
    <t>(opzione di riscatto)</t>
  </si>
  <si>
    <t>Rata finanziamento da ammortizzare</t>
  </si>
  <si>
    <t>a (rata di un mutuo con ammortamento alla francese)</t>
  </si>
  <si>
    <t>Interessi su riscatto</t>
  </si>
  <si>
    <t>b finanziamento bullet</t>
  </si>
  <si>
    <t>canone annuale</t>
  </si>
  <si>
    <t>c = a + b</t>
  </si>
  <si>
    <t>FLUSSO CONTRATTUALE</t>
  </si>
  <si>
    <t>Flusso Contrattuale</t>
  </si>
  <si>
    <t>EFFETTO FISCALE AMMORTAMENTO</t>
  </si>
  <si>
    <t>Terreno</t>
  </si>
  <si>
    <t xml:space="preserve">Imponibile </t>
  </si>
  <si>
    <t>Effetto Fiscale</t>
  </si>
  <si>
    <t>canone medio IRES</t>
  </si>
  <si>
    <t>canone medio IRAP</t>
  </si>
  <si>
    <t>Risparmio fiscale lordo del Leasing</t>
  </si>
  <si>
    <t>Risparmio fiscale netto del Leasing</t>
  </si>
  <si>
    <t>FLUSSO LEASING PRE-RISCATTO</t>
  </si>
  <si>
    <t>Imposta ipo-catastale acquisto (mancato esborso)</t>
  </si>
  <si>
    <t>Risparmio Fiscale</t>
  </si>
  <si>
    <t>Flusso Leasing Fiscale</t>
  </si>
  <si>
    <t>EFFETTO FISCALE RISCATTO</t>
  </si>
  <si>
    <t>Valore fiscale del Riscatto</t>
  </si>
  <si>
    <t>Valore Fiscale con Acquisto iniziale</t>
  </si>
  <si>
    <t>Differenza</t>
  </si>
  <si>
    <t>Fiscalità Latente Riscatto</t>
  </si>
  <si>
    <t>FLUSSO LEASING POST-RISCATTO</t>
  </si>
  <si>
    <t>Flusso Leasing Fiscale Netto</t>
  </si>
  <si>
    <t>Ammontare finanziato</t>
  </si>
  <si>
    <t>Oneri finanziari</t>
  </si>
  <si>
    <t>Rimborso capitale</t>
  </si>
  <si>
    <t>Erogazione</t>
  </si>
  <si>
    <t>TIR Contrattuale</t>
  </si>
  <si>
    <t>Flusso Netto</t>
  </si>
  <si>
    <t>Costo netto del Mutuo</t>
  </si>
  <si>
    <t>ammortamento (mancato)</t>
  </si>
  <si>
    <t>prezzo del bene (valore di mercato)</t>
  </si>
  <si>
    <t>Imposta Plusvalenza su vendita</t>
  </si>
  <si>
    <t>Caso 1</t>
  </si>
  <si>
    <t>Caso 2</t>
  </si>
  <si>
    <t>Costo  del  Leasing (incluso CGT)</t>
  </si>
  <si>
    <t>valore contabile CASO 1</t>
  </si>
  <si>
    <t>valore contabile CASO 2</t>
  </si>
  <si>
    <t>CGT su Vendita Iniziale</t>
  </si>
  <si>
    <t>Plusvalenza</t>
  </si>
  <si>
    <t>Imposta</t>
  </si>
  <si>
    <t>Prezzo dell’Immobile</t>
  </si>
  <si>
    <t>Spese di Istruttoria</t>
  </si>
  <si>
    <t>Maxicanone Iniziale</t>
  </si>
  <si>
    <t>Tasso nominale del Leasing</t>
  </si>
  <si>
    <t>Opzione di Riscatto</t>
  </si>
  <si>
    <t>Aliquota Ammortamento Immobile</t>
  </si>
  <si>
    <t>Incidenza Fiscale del Terreno</t>
  </si>
  <si>
    <t>Imposte ip. e cat. (Acquisto)</t>
  </si>
  <si>
    <t>Imposte ip. e cat. (Leasing)</t>
  </si>
  <si>
    <t>Aliquota IRES</t>
  </si>
  <si>
    <t>Aliquota IRAP</t>
  </si>
  <si>
    <t>Importo finanziato da ammortizzare nel periodo</t>
  </si>
  <si>
    <t>Importo finanziato bullet da rimborsare al riscatto</t>
  </si>
  <si>
    <t>Valore Contabile con Riscatto</t>
  </si>
  <si>
    <t>Valore Fiscale a Valore Contabile Iniziale</t>
  </si>
  <si>
    <t>Imposta di Registro sui canoni</t>
  </si>
  <si>
    <t>Prezzo del bene (valore di mercato)</t>
  </si>
  <si>
    <t>Valore contabile del bene oggetto di sale &amp; lease back</t>
  </si>
  <si>
    <t>b (finanziamento bullet)</t>
  </si>
  <si>
    <t>Prezzo del bene (mancato esborso)</t>
  </si>
  <si>
    <t>Canone</t>
  </si>
  <si>
    <t>Canone medio IRES</t>
  </si>
  <si>
    <t xml:space="preserve">Mancato ammortamento </t>
  </si>
  <si>
    <t>Spese di istruttoria</t>
  </si>
  <si>
    <t>Imposta sostitutiva</t>
  </si>
  <si>
    <t>Durata del contratto (anni)</t>
  </si>
  <si>
    <t>Tasso di interesse</t>
  </si>
  <si>
    <t>Importo Rata</t>
  </si>
  <si>
    <t>Debito Iniziale</t>
  </si>
  <si>
    <t>Debito Finale</t>
  </si>
  <si>
    <t>EFFETTO FISCALE AMM.</t>
  </si>
  <si>
    <t>ANNO</t>
  </si>
  <si>
    <t>Mesi deducibilità</t>
  </si>
  <si>
    <t>Tabella 8.8</t>
  </si>
  <si>
    <t>Tabella 8.9</t>
  </si>
  <si>
    <t>Tabella 8.10</t>
  </si>
  <si>
    <t>Tabella 8.11</t>
  </si>
  <si>
    <t>Tabella 8.12</t>
  </si>
  <si>
    <t>Tabella 8.13</t>
  </si>
  <si>
    <t>Tabella 8.14</t>
  </si>
  <si>
    <t>Tabella 8.15</t>
  </si>
  <si>
    <t>FINANZIAMENTO BANCARIO</t>
  </si>
  <si>
    <t>PIANO DI RIMBORSO FINANZIAMENTO BANCARIO</t>
  </si>
  <si>
    <t>FLUSSO DI CASSA FINANZIAMENTO BANCARIO</t>
  </si>
  <si>
    <t>Tabella 8.16</t>
  </si>
  <si>
    <t>Tabella 8.17</t>
  </si>
  <si>
    <t>Tabella 8.18</t>
  </si>
  <si>
    <t>Canone iniziale</t>
  </si>
  <si>
    <t>Imposta ip. e cat. acquisto (mancato esborso)</t>
  </si>
  <si>
    <t>Tabella 8.19</t>
  </si>
  <si>
    <t>Tabella 8.20</t>
  </si>
  <si>
    <t>Tabella 8.21</t>
  </si>
  <si>
    <t>Tabella 8.23</t>
  </si>
  <si>
    <t>Tabella 8.22</t>
  </si>
  <si>
    <t>€ 200 + € 200</t>
  </si>
  <si>
    <t>€ 50 + € 50</t>
  </si>
  <si>
    <t>Numero Annualità</t>
  </si>
  <si>
    <t>calcolo valore right of use</t>
  </si>
  <si>
    <t>caratteristiche</t>
  </si>
  <si>
    <t>corrisposto alla data di decorrenza</t>
  </si>
  <si>
    <t>Tempo</t>
  </si>
  <si>
    <t>Pagamento</t>
  </si>
  <si>
    <t>Valore attuale</t>
  </si>
  <si>
    <t>contabilizzazione a stato patrimoniale</t>
  </si>
  <si>
    <t>importi a conto economico</t>
  </si>
  <si>
    <t xml:space="preserve">Interessi </t>
  </si>
  <si>
    <t>Ammortamento</t>
  </si>
  <si>
    <t>Durata (tempo)</t>
  </si>
  <si>
    <t>Maxicanone iniziale</t>
  </si>
  <si>
    <t>Canone annuo</t>
  </si>
  <si>
    <t xml:space="preserve">Tasso di sconto </t>
  </si>
  <si>
    <t>Right of Use</t>
  </si>
  <si>
    <t>Debiti</t>
  </si>
  <si>
    <t>Fondo Ammortamento</t>
  </si>
  <si>
    <t>Debito iniziale</t>
  </si>
  <si>
    <t>Tasso</t>
  </si>
  <si>
    <t>Capitale</t>
  </si>
  <si>
    <t>Pagamenti</t>
  </si>
  <si>
    <t>Debito finale</t>
  </si>
  <si>
    <t>Rigth of use lordo</t>
  </si>
  <si>
    <t>Right of use netto</t>
  </si>
  <si>
    <t>Vietato ogni utilizzo professionale.</t>
  </si>
  <si>
    <t>Da utilizzare solo a fini didattici.</t>
  </si>
  <si>
    <t xml:space="preserve">www.propertyfinance.it </t>
  </si>
  <si>
    <t>Per ulteriore materiale didattico, link e bibliografia:</t>
  </si>
  <si>
    <t>Giacomo Morri, Antonio Mazza - EGEA 2024</t>
  </si>
  <si>
    <t>Strumenti e Tecniche di Finanziamento Immobiliare</t>
  </si>
  <si>
    <t>Foglio elettronico con tabelle tratte dal libro</t>
  </si>
  <si>
    <t>Capitolo 13</t>
  </si>
  <si>
    <t xml:space="preserve"> Il leasing immobiliare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</si>
</sst>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#,##0\ &quot;€&quot;;\-#,##0\ &quot;€&quot;"/>
    <numFmt numFmtId="43" formatCode="_-* #,##0.00_-;\-* #,##0.00_-;_-* &quot;-&quot;??_-;_-@_-"/>
    <numFmt numFmtId="164" formatCode="&quot;€&quot;\ #,##0;[Red]\-&quot;€&quot;\ #,##0"/>
    <numFmt numFmtId="165" formatCode="_(* #,##0.00_);_(* \(#,##0.00\);_(* &quot;-&quot;??_);_(@_)"/>
    <numFmt numFmtId="166" formatCode="&quot;€&quot;\ #,##0"/>
    <numFmt numFmtId="167" formatCode="_(* #,##0_);_(* \(#,##0\);_(* &quot;-&quot;??_);_(@_)"/>
    <numFmt numFmtId="168" formatCode="0.000%"/>
    <numFmt numFmtId="169" formatCode="#,##0_ ;\-#,##0\ "/>
    <numFmt numFmtId="170" formatCode="_-* #,##0_-;\-* #,##0_-;_-* &quot;-&quot;??_-;_-@_-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indexed="8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name val="Times New Roman"/>
      <family val="1"/>
    </font>
    <font>
      <sz val="11"/>
      <color theme="3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i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rgb="FFFF0000"/>
      <name val="Times New Roman"/>
      <family val="1"/>
    </font>
    <font>
      <sz val="10"/>
      <color theme="1"/>
      <name val="Arial"/>
      <family val="2"/>
    </font>
    <font>
      <b/>
      <i/>
      <sz val="11"/>
      <color rgb="FF0070C0"/>
      <name val="Times New Roman"/>
      <family val="1"/>
    </font>
    <font>
      <b/>
      <sz val="11"/>
      <color rgb="FF0070C0"/>
      <name val="Times New Roman"/>
      <family val="1"/>
    </font>
    <font>
      <sz val="11"/>
      <color rgb="FF0070C0"/>
      <name val="Times New Roman"/>
      <family val="1"/>
    </font>
    <font>
      <i/>
      <sz val="11"/>
      <color rgb="FF0070C0"/>
      <name val="Times New Roman"/>
      <family val="1"/>
    </font>
    <font>
      <b/>
      <i/>
      <sz val="12"/>
      <color rgb="FF0070C0"/>
      <name val="Times New Roman"/>
      <family val="1"/>
    </font>
    <font>
      <sz val="12"/>
      <color rgb="FF0070C0"/>
      <name val="Times New Roman"/>
      <family val="1"/>
    </font>
    <font>
      <i/>
      <sz val="12"/>
      <color rgb="FF0070C0"/>
      <name val="Times New Roman"/>
      <family val="1"/>
    </font>
    <font>
      <b/>
      <sz val="12"/>
      <color rgb="FF0070C0"/>
      <name val="Times New Roman"/>
      <family val="1"/>
    </font>
    <font>
      <sz val="11"/>
      <color theme="1"/>
      <name val="Arial"/>
      <family val="2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DashDot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DashDot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165" fontId="5" fillId="0" borderId="0" applyFont="0" applyFill="0" applyBorder="0" applyAlignment="0" applyProtection="0"/>
    <xf numFmtId="0" fontId="6" fillId="0" borderId="0"/>
    <xf numFmtId="0" fontId="8" fillId="0" borderId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5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43" fillId="0" borderId="0" applyNumberFormat="0" applyFill="0" applyBorder="0" applyAlignment="0" applyProtection="0"/>
  </cellStyleXfs>
  <cellXfs count="370">
    <xf numFmtId="0" fontId="0" fillId="0" borderId="0" xfId="0"/>
    <xf numFmtId="166" fontId="11" fillId="0" borderId="0" xfId="7" applyNumberFormat="1" applyFont="1"/>
    <xf numFmtId="0" fontId="12" fillId="0" borderId="0" xfId="3" applyFont="1"/>
    <xf numFmtId="0" fontId="14" fillId="0" borderId="0" xfId="0" applyFont="1"/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6" fontId="15" fillId="0" borderId="0" xfId="7" applyNumberFormat="1" applyFont="1"/>
    <xf numFmtId="169" fontId="15" fillId="0" borderId="0" xfId="7" applyNumberFormat="1" applyFont="1"/>
    <xf numFmtId="169" fontId="18" fillId="0" borderId="0" xfId="7" applyNumberFormat="1" applyFont="1"/>
    <xf numFmtId="167" fontId="15" fillId="0" borderId="0" xfId="1" applyNumberFormat="1" applyFont="1"/>
    <xf numFmtId="166" fontId="17" fillId="0" borderId="0" xfId="7" applyNumberFormat="1" applyFont="1"/>
    <xf numFmtId="167" fontId="16" fillId="0" borderId="0" xfId="1" applyNumberFormat="1" applyFont="1"/>
    <xf numFmtId="10" fontId="15" fillId="0" borderId="0" xfId="4" applyNumberFormat="1" applyFont="1"/>
    <xf numFmtId="0" fontId="17" fillId="0" borderId="0" xfId="7" applyFont="1"/>
    <xf numFmtId="0" fontId="15" fillId="0" borderId="0" xfId="7" applyFont="1"/>
    <xf numFmtId="0" fontId="12" fillId="0" borderId="0" xfId="3" applyFont="1" applyAlignment="1">
      <alignment horizontal="left" vertical="center" wrapText="1"/>
    </xf>
    <xf numFmtId="0" fontId="20" fillId="0" borderId="0" xfId="0" applyFont="1"/>
    <xf numFmtId="166" fontId="12" fillId="0" borderId="0" xfId="1" applyNumberFormat="1" applyFont="1" applyBorder="1" applyAlignment="1">
      <alignment horizontal="center" vertical="center"/>
    </xf>
    <xf numFmtId="166" fontId="19" fillId="0" borderId="0" xfId="1" applyNumberFormat="1" applyFont="1" applyBorder="1" applyAlignment="1">
      <alignment horizontal="center" vertical="center"/>
    </xf>
    <xf numFmtId="166" fontId="23" fillId="0" borderId="0" xfId="1" applyNumberFormat="1" applyFont="1" applyBorder="1" applyAlignment="1">
      <alignment horizontal="center" vertical="center"/>
    </xf>
    <xf numFmtId="166" fontId="13" fillId="0" borderId="2" xfId="1" applyNumberFormat="1" applyFont="1" applyBorder="1" applyAlignment="1">
      <alignment horizontal="center" vertical="center"/>
    </xf>
    <xf numFmtId="166" fontId="13" fillId="0" borderId="0" xfId="1" applyNumberFormat="1" applyFont="1" applyBorder="1" applyAlignment="1">
      <alignment horizontal="center" vertical="center"/>
    </xf>
    <xf numFmtId="167" fontId="14" fillId="0" borderId="0" xfId="1" applyNumberFormat="1" applyFont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166" fontId="13" fillId="0" borderId="0" xfId="1" applyNumberFormat="1" applyFont="1" applyBorder="1" applyAlignment="1">
      <alignment horizontal="left" vertical="center"/>
    </xf>
    <xf numFmtId="166" fontId="13" fillId="0" borderId="2" xfId="1" applyNumberFormat="1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166" fontId="22" fillId="0" borderId="4" xfId="1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8" fillId="0" borderId="10" xfId="0" applyFont="1" applyBorder="1" applyAlignment="1">
      <alignment horizontal="left" vertical="center"/>
    </xf>
    <xf numFmtId="0" fontId="12" fillId="0" borderId="0" xfId="3" applyFont="1" applyAlignment="1">
      <alignment horizontal="center" vertical="center"/>
    </xf>
    <xf numFmtId="164" fontId="12" fillId="0" borderId="0" xfId="3" applyNumberFormat="1" applyFont="1" applyAlignment="1">
      <alignment horizontal="center" vertical="center"/>
    </xf>
    <xf numFmtId="9" fontId="12" fillId="0" borderId="0" xfId="3" applyNumberFormat="1" applyFont="1" applyAlignment="1">
      <alignment horizontal="center" vertical="center"/>
    </xf>
    <xf numFmtId="0" fontId="12" fillId="0" borderId="0" xfId="3" applyFont="1" applyAlignment="1">
      <alignment horizontal="left" vertical="center"/>
    </xf>
    <xf numFmtId="0" fontId="13" fillId="0" borderId="3" xfId="3" applyFont="1" applyBorder="1" applyAlignment="1">
      <alignment horizontal="left" vertical="center" wrapText="1"/>
    </xf>
    <xf numFmtId="0" fontId="13" fillId="0" borderId="3" xfId="3" applyFont="1" applyBorder="1" applyAlignment="1">
      <alignment horizontal="center" vertical="center" wrapText="1"/>
    </xf>
    <xf numFmtId="9" fontId="19" fillId="0" borderId="0" xfId="4" applyFont="1" applyBorder="1" applyAlignment="1">
      <alignment horizontal="center" vertical="center"/>
    </xf>
    <xf numFmtId="166" fontId="15" fillId="0" borderId="0" xfId="7" applyNumberFormat="1" applyFont="1" applyAlignment="1">
      <alignment horizontal="center" vertical="center"/>
    </xf>
    <xf numFmtId="169" fontId="15" fillId="0" borderId="1" xfId="7" applyNumberFormat="1" applyFont="1" applyBorder="1" applyAlignment="1">
      <alignment horizontal="center" vertical="center"/>
    </xf>
    <xf numFmtId="10" fontId="15" fillId="0" borderId="0" xfId="4" applyNumberFormat="1" applyFont="1" applyBorder="1" applyAlignment="1">
      <alignment horizontal="center" vertical="center"/>
    </xf>
    <xf numFmtId="169" fontId="15" fillId="0" borderId="0" xfId="7" applyNumberFormat="1" applyFont="1" applyAlignment="1">
      <alignment horizontal="center" vertical="center"/>
    </xf>
    <xf numFmtId="167" fontId="15" fillId="0" borderId="0" xfId="1" applyNumberFormat="1" applyFont="1" applyBorder="1" applyAlignment="1">
      <alignment horizontal="center" vertical="center"/>
    </xf>
    <xf numFmtId="166" fontId="15" fillId="0" borderId="2" xfId="7" applyNumberFormat="1" applyFont="1" applyBorder="1" applyAlignment="1">
      <alignment horizontal="center" vertical="center"/>
    </xf>
    <xf numFmtId="0" fontId="15" fillId="0" borderId="0" xfId="7" applyFont="1" applyAlignment="1">
      <alignment horizontal="center" vertical="center"/>
    </xf>
    <xf numFmtId="167" fontId="15" fillId="0" borderId="0" xfId="1" applyNumberFormat="1" applyFont="1" applyAlignment="1">
      <alignment horizontal="center" vertical="center"/>
    </xf>
    <xf numFmtId="166" fontId="15" fillId="0" borderId="0" xfId="7" applyNumberFormat="1" applyFont="1" applyAlignment="1">
      <alignment horizontal="left" vertical="center"/>
    </xf>
    <xf numFmtId="166" fontId="15" fillId="0" borderId="2" xfId="7" applyNumberFormat="1" applyFont="1" applyBorder="1" applyAlignment="1">
      <alignment horizontal="left" vertical="center"/>
    </xf>
    <xf numFmtId="0" fontId="15" fillId="0" borderId="0" xfId="7" applyFont="1" applyAlignment="1">
      <alignment horizontal="left" vertical="center"/>
    </xf>
    <xf numFmtId="167" fontId="15" fillId="0" borderId="0" xfId="1" applyNumberFormat="1" applyFont="1" applyAlignment="1">
      <alignment horizontal="left" vertical="center"/>
    </xf>
    <xf numFmtId="169" fontId="15" fillId="0" borderId="2" xfId="7" applyNumberFormat="1" applyFont="1" applyBorder="1" applyAlignment="1">
      <alignment horizontal="center" vertical="center"/>
    </xf>
    <xf numFmtId="169" fontId="16" fillId="0" borderId="0" xfId="7" applyNumberFormat="1" applyFont="1" applyAlignment="1">
      <alignment horizontal="center" vertical="center"/>
    </xf>
    <xf numFmtId="166" fontId="16" fillId="0" borderId="0" xfId="7" applyNumberFormat="1" applyFont="1" applyAlignment="1">
      <alignment horizontal="left" vertical="center"/>
    </xf>
    <xf numFmtId="169" fontId="15" fillId="0" borderId="0" xfId="1" applyNumberFormat="1" applyFont="1" applyBorder="1" applyAlignment="1">
      <alignment horizontal="center" vertical="center"/>
    </xf>
    <xf numFmtId="169" fontId="11" fillId="0" borderId="0" xfId="1" applyNumberFormat="1" applyFont="1" applyBorder="1" applyAlignment="1">
      <alignment horizontal="center" vertical="center"/>
    </xf>
    <xf numFmtId="169" fontId="16" fillId="0" borderId="1" xfId="1" applyNumberFormat="1" applyFont="1" applyBorder="1" applyAlignment="1">
      <alignment horizontal="center" vertical="center"/>
    </xf>
    <xf numFmtId="169" fontId="16" fillId="0" borderId="2" xfId="1" applyNumberFormat="1" applyFont="1" applyBorder="1" applyAlignment="1">
      <alignment horizontal="center" vertical="center"/>
    </xf>
    <xf numFmtId="0" fontId="11" fillId="0" borderId="0" xfId="7" applyFont="1" applyAlignment="1">
      <alignment horizontal="right" vertical="center"/>
    </xf>
    <xf numFmtId="0" fontId="16" fillId="0" borderId="1" xfId="7" applyFont="1" applyBorder="1" applyAlignment="1">
      <alignment horizontal="left" vertical="center"/>
    </xf>
    <xf numFmtId="0" fontId="16" fillId="0" borderId="2" xfId="7" applyFont="1" applyBorder="1" applyAlignment="1">
      <alignment horizontal="left" vertical="center"/>
    </xf>
    <xf numFmtId="169" fontId="11" fillId="0" borderId="1" xfId="7" applyNumberFormat="1" applyFont="1" applyBorder="1" applyAlignment="1">
      <alignment horizontal="center" vertical="center"/>
    </xf>
    <xf numFmtId="169" fontId="11" fillId="0" borderId="0" xfId="7" applyNumberFormat="1" applyFont="1" applyAlignment="1">
      <alignment horizontal="center" vertical="center"/>
    </xf>
    <xf numFmtId="169" fontId="11" fillId="0" borderId="2" xfId="7" applyNumberFormat="1" applyFont="1" applyBorder="1" applyAlignment="1">
      <alignment horizontal="center" vertical="center"/>
    </xf>
    <xf numFmtId="169" fontId="17" fillId="0" borderId="0" xfId="7" applyNumberFormat="1" applyFont="1" applyAlignment="1">
      <alignment horizontal="center" vertical="center"/>
    </xf>
    <xf numFmtId="10" fontId="16" fillId="0" borderId="0" xfId="4" applyNumberFormat="1" applyFont="1" applyAlignment="1">
      <alignment horizontal="center" vertical="center"/>
    </xf>
    <xf numFmtId="166" fontId="17" fillId="0" borderId="0" xfId="7" applyNumberFormat="1" applyFont="1" applyAlignment="1">
      <alignment horizontal="left" vertical="center"/>
    </xf>
    <xf numFmtId="10" fontId="17" fillId="0" borderId="0" xfId="4" applyNumberFormat="1" applyFont="1" applyAlignment="1">
      <alignment horizontal="center" vertical="center"/>
    </xf>
    <xf numFmtId="166" fontId="11" fillId="0" borderId="0" xfId="7" applyNumberFormat="1" applyFont="1" applyAlignment="1">
      <alignment horizontal="center" vertical="center"/>
    </xf>
    <xf numFmtId="166" fontId="16" fillId="0" borderId="3" xfId="7" applyNumberFormat="1" applyFont="1" applyBorder="1" applyAlignment="1">
      <alignment horizontal="left" vertical="center"/>
    </xf>
    <xf numFmtId="3" fontId="16" fillId="0" borderId="3" xfId="1" applyNumberFormat="1" applyFont="1" applyBorder="1" applyAlignment="1">
      <alignment horizontal="center" vertical="center"/>
    </xf>
    <xf numFmtId="3" fontId="17" fillId="0" borderId="3" xfId="1" applyNumberFormat="1" applyFont="1" applyBorder="1" applyAlignment="1">
      <alignment horizontal="center" vertical="center"/>
    </xf>
    <xf numFmtId="169" fontId="15" fillId="0" borderId="4" xfId="7" applyNumberFormat="1" applyFont="1" applyBorder="1" applyAlignment="1">
      <alignment horizontal="center" vertical="center"/>
    </xf>
    <xf numFmtId="166" fontId="15" fillId="0" borderId="4" xfId="7" applyNumberFormat="1" applyFont="1" applyBorder="1" applyAlignment="1">
      <alignment horizontal="left" vertical="center"/>
    </xf>
    <xf numFmtId="166" fontId="16" fillId="0" borderId="3" xfId="7" applyNumberFormat="1" applyFont="1" applyBorder="1" applyAlignment="1">
      <alignment horizontal="center" vertical="center"/>
    </xf>
    <xf numFmtId="166" fontId="16" fillId="0" borderId="0" xfId="7" applyNumberFormat="1" applyFont="1" applyAlignment="1">
      <alignment horizontal="center" vertical="center"/>
    </xf>
    <xf numFmtId="166" fontId="15" fillId="0" borderId="4" xfId="7" applyNumberFormat="1" applyFont="1" applyBorder="1" applyAlignment="1">
      <alignment horizontal="center" vertical="center"/>
    </xf>
    <xf numFmtId="168" fontId="17" fillId="0" borderId="0" xfId="4" applyNumberFormat="1" applyFont="1" applyAlignment="1">
      <alignment horizontal="center" vertical="center"/>
    </xf>
    <xf numFmtId="166" fontId="15" fillId="0" borderId="3" xfId="7" applyNumberFormat="1" applyFont="1" applyBorder="1" applyAlignment="1">
      <alignment horizontal="center" vertical="center"/>
    </xf>
    <xf numFmtId="166" fontId="11" fillId="0" borderId="0" xfId="7" applyNumberFormat="1" applyFont="1" applyAlignment="1">
      <alignment horizontal="left" vertical="center"/>
    </xf>
    <xf numFmtId="169" fontId="16" fillId="0" borderId="3" xfId="7" applyNumberFormat="1" applyFont="1" applyBorder="1" applyAlignment="1">
      <alignment horizontal="center" vertical="center"/>
    </xf>
    <xf numFmtId="169" fontId="18" fillId="0" borderId="1" xfId="7" applyNumberFormat="1" applyFont="1" applyBorder="1" applyAlignment="1">
      <alignment horizontal="center" vertical="center"/>
    </xf>
    <xf numFmtId="10" fontId="18" fillId="0" borderId="2" xfId="4" applyNumberFormat="1" applyFont="1" applyBorder="1" applyAlignment="1">
      <alignment horizontal="center" vertical="center"/>
    </xf>
    <xf numFmtId="169" fontId="18" fillId="0" borderId="0" xfId="7" applyNumberFormat="1" applyFont="1" applyAlignment="1">
      <alignment horizontal="center" vertical="center"/>
    </xf>
    <xf numFmtId="169" fontId="12" fillId="0" borderId="1" xfId="7" applyNumberFormat="1" applyFont="1" applyBorder="1" applyAlignment="1">
      <alignment horizontal="center" vertical="center"/>
    </xf>
    <xf numFmtId="169" fontId="12" fillId="0" borderId="0" xfId="7" applyNumberFormat="1" applyFont="1" applyAlignment="1">
      <alignment horizontal="center" vertical="center"/>
    </xf>
    <xf numFmtId="169" fontId="13" fillId="0" borderId="1" xfId="7" applyNumberFormat="1" applyFont="1" applyBorder="1" applyAlignment="1">
      <alignment horizontal="center" vertical="center"/>
    </xf>
    <xf numFmtId="169" fontId="16" fillId="0" borderId="1" xfId="7" applyNumberFormat="1" applyFont="1" applyBorder="1" applyAlignment="1">
      <alignment horizontal="center" vertical="center"/>
    </xf>
    <xf numFmtId="10" fontId="13" fillId="0" borderId="2" xfId="4" applyNumberFormat="1" applyFont="1" applyBorder="1" applyAlignment="1">
      <alignment horizontal="center" vertical="center"/>
    </xf>
    <xf numFmtId="166" fontId="18" fillId="0" borderId="0" xfId="7" applyNumberFormat="1" applyFont="1" applyAlignment="1">
      <alignment horizontal="left" vertical="center"/>
    </xf>
    <xf numFmtId="166" fontId="18" fillId="0" borderId="2" xfId="7" applyNumberFormat="1" applyFont="1" applyBorder="1" applyAlignment="1">
      <alignment horizontal="left" vertical="center"/>
    </xf>
    <xf numFmtId="166" fontId="12" fillId="0" borderId="1" xfId="7" applyNumberFormat="1" applyFont="1" applyBorder="1" applyAlignment="1">
      <alignment horizontal="left" vertical="center"/>
    </xf>
    <xf numFmtId="166" fontId="12" fillId="0" borderId="0" xfId="7" applyNumberFormat="1" applyFont="1" applyAlignment="1">
      <alignment horizontal="left" vertical="center"/>
    </xf>
    <xf numFmtId="166" fontId="13" fillId="0" borderId="1" xfId="7" applyNumberFormat="1" applyFont="1" applyBorder="1" applyAlignment="1">
      <alignment horizontal="left" vertical="center"/>
    </xf>
    <xf numFmtId="166" fontId="13" fillId="0" borderId="2" xfId="7" applyNumberFormat="1" applyFont="1" applyBorder="1" applyAlignment="1">
      <alignment horizontal="left" vertical="center"/>
    </xf>
    <xf numFmtId="166" fontId="18" fillId="0" borderId="3" xfId="7" applyNumberFormat="1" applyFont="1" applyBorder="1" applyAlignment="1">
      <alignment horizontal="left" vertical="center"/>
    </xf>
    <xf numFmtId="169" fontId="18" fillId="0" borderId="3" xfId="1" applyNumberFormat="1" applyFont="1" applyBorder="1" applyAlignment="1">
      <alignment horizontal="center" vertical="center"/>
    </xf>
    <xf numFmtId="169" fontId="16" fillId="0" borderId="11" xfId="7" applyNumberFormat="1" applyFont="1" applyBorder="1" applyAlignment="1">
      <alignment horizontal="center" vertical="center"/>
    </xf>
    <xf numFmtId="169" fontId="15" fillId="0" borderId="5" xfId="7" applyNumberFormat="1" applyFont="1" applyBorder="1" applyAlignment="1">
      <alignment horizontal="center" vertical="center"/>
    </xf>
    <xf numFmtId="169" fontId="15" fillId="0" borderId="8" xfId="7" applyNumberFormat="1" applyFont="1" applyBorder="1" applyAlignment="1">
      <alignment horizontal="center" vertical="center"/>
    </xf>
    <xf numFmtId="169" fontId="11" fillId="0" borderId="7" xfId="7" applyNumberFormat="1" applyFont="1" applyBorder="1" applyAlignment="1">
      <alignment horizontal="center" vertical="center"/>
    </xf>
    <xf numFmtId="169" fontId="17" fillId="0" borderId="1" xfId="7" applyNumberFormat="1" applyFont="1" applyBorder="1" applyAlignment="1">
      <alignment horizontal="center" vertical="center"/>
    </xf>
    <xf numFmtId="169" fontId="16" fillId="0" borderId="5" xfId="7" applyNumberFormat="1" applyFont="1" applyBorder="1" applyAlignment="1">
      <alignment horizontal="center" vertical="center"/>
    </xf>
    <xf numFmtId="166" fontId="17" fillId="0" borderId="1" xfId="7" applyNumberFormat="1" applyFont="1" applyBorder="1" applyAlignment="1">
      <alignment horizontal="left" vertical="center"/>
    </xf>
    <xf numFmtId="169" fontId="11" fillId="0" borderId="4" xfId="7" applyNumberFormat="1" applyFont="1" applyBorder="1" applyAlignment="1">
      <alignment horizontal="center" vertical="center"/>
    </xf>
    <xf numFmtId="169" fontId="11" fillId="0" borderId="9" xfId="7" applyNumberFormat="1" applyFont="1" applyBorder="1" applyAlignment="1">
      <alignment horizontal="center" vertical="center"/>
    </xf>
    <xf numFmtId="169" fontId="17" fillId="0" borderId="4" xfId="7" applyNumberFormat="1" applyFont="1" applyBorder="1" applyAlignment="1">
      <alignment horizontal="center" vertical="center"/>
    </xf>
    <xf numFmtId="166" fontId="17" fillId="0" borderId="4" xfId="7" applyNumberFormat="1" applyFont="1" applyBorder="1" applyAlignment="1">
      <alignment horizontal="left" vertical="center"/>
    </xf>
    <xf numFmtId="166" fontId="15" fillId="0" borderId="3" xfId="7" applyNumberFormat="1" applyFont="1" applyBorder="1" applyAlignment="1">
      <alignment horizontal="left" vertical="center"/>
    </xf>
    <xf numFmtId="166" fontId="16" fillId="0" borderId="2" xfId="7" applyNumberFormat="1" applyFont="1" applyBorder="1" applyAlignment="1">
      <alignment horizontal="left" vertical="center"/>
    </xf>
    <xf numFmtId="10" fontId="16" fillId="0" borderId="2" xfId="4" applyNumberFormat="1" applyFont="1" applyBorder="1" applyAlignment="1">
      <alignment horizontal="center" vertical="center"/>
    </xf>
    <xf numFmtId="0" fontId="3" fillId="0" borderId="0" xfId="8" applyAlignment="1">
      <alignment horizontal="center" vertical="center"/>
    </xf>
    <xf numFmtId="0" fontId="24" fillId="0" borderId="0" xfId="8" applyFont="1" applyAlignment="1">
      <alignment horizontal="center" vertical="center"/>
    </xf>
    <xf numFmtId="0" fontId="3" fillId="0" borderId="0" xfId="8"/>
    <xf numFmtId="0" fontId="25" fillId="0" borderId="0" xfId="8" applyFont="1" applyAlignment="1">
      <alignment horizontal="center" vertical="center"/>
    </xf>
    <xf numFmtId="0" fontId="26" fillId="0" borderId="0" xfId="8" applyFont="1" applyAlignment="1">
      <alignment horizontal="center" vertical="center"/>
    </xf>
    <xf numFmtId="0" fontId="25" fillId="0" borderId="12" xfId="8" applyFont="1" applyBorder="1" applyAlignment="1">
      <alignment horizontal="center" vertical="center"/>
    </xf>
    <xf numFmtId="0" fontId="25" fillId="0" borderId="13" xfId="8" applyFont="1" applyBorder="1" applyAlignment="1">
      <alignment horizontal="center" vertical="center"/>
    </xf>
    <xf numFmtId="0" fontId="25" fillId="0" borderId="14" xfId="8" applyFont="1" applyBorder="1" applyAlignment="1">
      <alignment horizontal="center" vertical="center"/>
    </xf>
    <xf numFmtId="0" fontId="25" fillId="0" borderId="15" xfId="8" applyFont="1" applyBorder="1" applyAlignment="1">
      <alignment horizontal="center" vertical="center"/>
    </xf>
    <xf numFmtId="0" fontId="25" fillId="0" borderId="18" xfId="8" applyFont="1" applyBorder="1" applyAlignment="1">
      <alignment horizontal="center" vertical="center"/>
    </xf>
    <xf numFmtId="0" fontId="25" fillId="0" borderId="19" xfId="8" applyFont="1" applyBorder="1" applyAlignment="1">
      <alignment horizontal="center" vertical="center"/>
    </xf>
    <xf numFmtId="0" fontId="25" fillId="0" borderId="20" xfId="8" applyFont="1" applyBorder="1" applyAlignment="1">
      <alignment horizontal="center" vertical="center"/>
    </xf>
    <xf numFmtId="10" fontId="15" fillId="0" borderId="3" xfId="4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167" fontId="14" fillId="0" borderId="3" xfId="1" applyNumberFormat="1" applyFont="1" applyBorder="1" applyAlignment="1">
      <alignment horizontal="center" vertical="center"/>
    </xf>
    <xf numFmtId="3" fontId="19" fillId="0" borderId="0" xfId="1" applyNumberFormat="1" applyFont="1" applyBorder="1" applyAlignment="1">
      <alignment horizontal="center" vertical="center"/>
    </xf>
    <xf numFmtId="3" fontId="19" fillId="0" borderId="2" xfId="1" applyNumberFormat="1" applyFont="1" applyBorder="1" applyAlignment="1">
      <alignment horizontal="center" vertical="center"/>
    </xf>
    <xf numFmtId="3" fontId="18" fillId="0" borderId="4" xfId="1" applyNumberFormat="1" applyFont="1" applyBorder="1" applyAlignment="1">
      <alignment horizontal="center" vertical="center"/>
    </xf>
    <xf numFmtId="0" fontId="17" fillId="0" borderId="0" xfId="7" applyFont="1" applyAlignment="1">
      <alignment horizontal="left" vertical="center"/>
    </xf>
    <xf numFmtId="169" fontId="17" fillId="0" borderId="0" xfId="1" applyNumberFormat="1" applyFont="1" applyBorder="1" applyAlignment="1">
      <alignment horizontal="center" vertical="center"/>
    </xf>
    <xf numFmtId="0" fontId="16" fillId="0" borderId="21" xfId="7" applyFont="1" applyBorder="1" applyAlignment="1">
      <alignment horizontal="left" vertical="center"/>
    </xf>
    <xf numFmtId="169" fontId="16" fillId="0" borderId="21" xfId="1" applyNumberFormat="1" applyFont="1" applyBorder="1" applyAlignment="1">
      <alignment horizontal="center" vertical="center"/>
    </xf>
    <xf numFmtId="3" fontId="16" fillId="0" borderId="23" xfId="1" applyNumberFormat="1" applyFont="1" applyBorder="1" applyAlignment="1">
      <alignment horizontal="center" vertical="center"/>
    </xf>
    <xf numFmtId="169" fontId="15" fillId="0" borderId="22" xfId="7" applyNumberFormat="1" applyFont="1" applyBorder="1" applyAlignment="1">
      <alignment horizontal="center" vertical="center"/>
    </xf>
    <xf numFmtId="169" fontId="15" fillId="0" borderId="24" xfId="7" applyNumberFormat="1" applyFont="1" applyBorder="1" applyAlignment="1">
      <alignment horizontal="center" vertical="center"/>
    </xf>
    <xf numFmtId="169" fontId="16" fillId="0" borderId="22" xfId="7" applyNumberFormat="1" applyFont="1" applyBorder="1" applyAlignment="1">
      <alignment horizontal="center" vertical="center"/>
    </xf>
    <xf numFmtId="169" fontId="15" fillId="0" borderId="3" xfId="7" applyNumberFormat="1" applyFont="1" applyBorder="1" applyAlignment="1">
      <alignment horizontal="center" vertical="center"/>
    </xf>
    <xf numFmtId="3" fontId="15" fillId="0" borderId="0" xfId="1" applyNumberFormat="1" applyFont="1" applyBorder="1" applyAlignment="1">
      <alignment horizontal="center" vertical="center"/>
    </xf>
    <xf numFmtId="169" fontId="15" fillId="0" borderId="25" xfId="7" applyNumberFormat="1" applyFont="1" applyBorder="1" applyAlignment="1">
      <alignment horizontal="center" vertical="center"/>
    </xf>
    <xf numFmtId="166" fontId="11" fillId="0" borderId="3" xfId="7" applyNumberFormat="1" applyFont="1" applyBorder="1" applyAlignment="1">
      <alignment horizontal="left" vertical="center"/>
    </xf>
    <xf numFmtId="169" fontId="11" fillId="0" borderId="3" xfId="7" applyNumberFormat="1" applyFont="1" applyBorder="1" applyAlignment="1">
      <alignment horizontal="center" vertical="center"/>
    </xf>
    <xf numFmtId="169" fontId="10" fillId="0" borderId="1" xfId="7" applyNumberFormat="1" applyFont="1" applyBorder="1" applyAlignment="1">
      <alignment horizontal="center" vertical="center"/>
    </xf>
    <xf numFmtId="169" fontId="10" fillId="0" borderId="0" xfId="7" applyNumberFormat="1" applyFont="1" applyAlignment="1">
      <alignment horizontal="center" vertical="center"/>
    </xf>
    <xf numFmtId="169" fontId="9" fillId="0" borderId="1" xfId="7" applyNumberFormat="1" applyFont="1" applyBorder="1" applyAlignment="1">
      <alignment horizontal="center" vertical="center"/>
    </xf>
    <xf numFmtId="10" fontId="9" fillId="0" borderId="2" xfId="4" applyNumberFormat="1" applyFont="1" applyBorder="1" applyAlignment="1">
      <alignment horizontal="center" vertical="center"/>
    </xf>
    <xf numFmtId="166" fontId="10" fillId="0" borderId="0" xfId="7" applyNumberFormat="1" applyFont="1" applyAlignment="1">
      <alignment horizontal="left" vertical="center"/>
    </xf>
    <xf numFmtId="5" fontId="15" fillId="0" borderId="0" xfId="7" applyNumberFormat="1" applyFont="1" applyAlignment="1">
      <alignment horizontal="center" vertical="center"/>
    </xf>
    <xf numFmtId="166" fontId="30" fillId="0" borderId="3" xfId="7" applyNumberFormat="1" applyFont="1" applyBorder="1"/>
    <xf numFmtId="166" fontId="31" fillId="0" borderId="0" xfId="7" applyNumberFormat="1" applyFont="1"/>
    <xf numFmtId="3" fontId="31" fillId="0" borderId="0" xfId="7" applyNumberFormat="1" applyFont="1" applyAlignment="1">
      <alignment horizontal="center" vertical="center"/>
    </xf>
    <xf numFmtId="10" fontId="31" fillId="0" borderId="0" xfId="4" applyNumberFormat="1" applyFont="1" applyBorder="1" applyAlignment="1">
      <alignment horizontal="center" vertical="center"/>
    </xf>
    <xf numFmtId="3" fontId="31" fillId="0" borderId="0" xfId="1" applyNumberFormat="1" applyFont="1" applyBorder="1" applyAlignment="1">
      <alignment horizontal="center" vertical="center"/>
    </xf>
    <xf numFmtId="10" fontId="31" fillId="0" borderId="1" xfId="4" applyNumberFormat="1" applyFont="1" applyBorder="1" applyAlignment="1">
      <alignment horizontal="center" vertical="center"/>
    </xf>
    <xf numFmtId="166" fontId="31" fillId="0" borderId="2" xfId="7" applyNumberFormat="1" applyFont="1" applyBorder="1"/>
    <xf numFmtId="166" fontId="30" fillId="0" borderId="0" xfId="7" applyNumberFormat="1" applyFont="1"/>
    <xf numFmtId="166" fontId="31" fillId="0" borderId="0" xfId="7" applyNumberFormat="1" applyFont="1" applyAlignment="1">
      <alignment horizontal="center" vertical="center"/>
    </xf>
    <xf numFmtId="0" fontId="29" fillId="0" borderId="0" xfId="7" applyFont="1"/>
    <xf numFmtId="0" fontId="31" fillId="0" borderId="0" xfId="7" applyFont="1"/>
    <xf numFmtId="0" fontId="32" fillId="0" borderId="0" xfId="7" applyFont="1" applyAlignment="1">
      <alignment horizontal="right" vertical="center"/>
    </xf>
    <xf numFmtId="0" fontId="31" fillId="0" borderId="2" xfId="7" applyFont="1" applyBorder="1"/>
    <xf numFmtId="0" fontId="30" fillId="0" borderId="0" xfId="7" applyFont="1"/>
    <xf numFmtId="0" fontId="30" fillId="0" borderId="2" xfId="7" applyFont="1" applyBorder="1"/>
    <xf numFmtId="3" fontId="30" fillId="0" borderId="3" xfId="1" applyNumberFormat="1" applyFont="1" applyBorder="1" applyAlignment="1">
      <alignment horizontal="center" vertical="center"/>
    </xf>
    <xf numFmtId="166" fontId="29" fillId="0" borderId="0" xfId="7" applyNumberFormat="1" applyFont="1"/>
    <xf numFmtId="166" fontId="30" fillId="0" borderId="3" xfId="7" applyNumberFormat="1" applyFont="1" applyBorder="1" applyAlignment="1">
      <alignment horizontal="center" vertical="center"/>
    </xf>
    <xf numFmtId="166" fontId="31" fillId="0" borderId="4" xfId="7" applyNumberFormat="1" applyFont="1" applyBorder="1"/>
    <xf numFmtId="3" fontId="30" fillId="0" borderId="0" xfId="1" applyNumberFormat="1" applyFont="1" applyAlignment="1">
      <alignment horizontal="center" vertical="center"/>
    </xf>
    <xf numFmtId="3" fontId="27" fillId="0" borderId="0" xfId="7" applyNumberFormat="1" applyFont="1" applyAlignment="1">
      <alignment horizontal="center" vertical="center"/>
    </xf>
    <xf numFmtId="166" fontId="34" fillId="0" borderId="0" xfId="7" applyNumberFormat="1" applyFont="1" applyAlignment="1">
      <alignment horizontal="left" vertical="center"/>
    </xf>
    <xf numFmtId="166" fontId="35" fillId="0" borderId="0" xfId="7" applyNumberFormat="1" applyFont="1" applyAlignment="1">
      <alignment horizontal="left" vertical="center"/>
    </xf>
    <xf numFmtId="166" fontId="35" fillId="0" borderId="2" xfId="7" applyNumberFormat="1" applyFont="1" applyBorder="1" applyAlignment="1">
      <alignment horizontal="left" vertical="center"/>
    </xf>
    <xf numFmtId="166" fontId="36" fillId="0" borderId="0" xfId="7" applyNumberFormat="1" applyFont="1" applyAlignment="1">
      <alignment horizontal="left" vertical="center"/>
    </xf>
    <xf numFmtId="166" fontId="34" fillId="0" borderId="1" xfId="7" applyNumberFormat="1" applyFont="1" applyBorder="1" applyAlignment="1">
      <alignment horizontal="left" vertical="center"/>
    </xf>
    <xf numFmtId="166" fontId="34" fillId="0" borderId="5" xfId="7" applyNumberFormat="1" applyFont="1" applyBorder="1" applyAlignment="1">
      <alignment horizontal="left" vertical="center"/>
    </xf>
    <xf numFmtId="169" fontId="36" fillId="0" borderId="3" xfId="1" applyNumberFormat="1" applyFont="1" applyBorder="1" applyAlignment="1">
      <alignment horizontal="center" vertical="center"/>
    </xf>
    <xf numFmtId="166" fontId="36" fillId="0" borderId="3" xfId="7" applyNumberFormat="1" applyFont="1" applyBorder="1" applyAlignment="1">
      <alignment horizontal="left" vertical="center"/>
    </xf>
    <xf numFmtId="166" fontId="36" fillId="0" borderId="2" xfId="7" applyNumberFormat="1" applyFont="1" applyBorder="1" applyAlignment="1">
      <alignment horizontal="left" vertical="center"/>
    </xf>
    <xf numFmtId="166" fontId="36" fillId="0" borderId="1" xfId="7" applyNumberFormat="1" applyFont="1" applyBorder="1" applyAlignment="1">
      <alignment horizontal="left" vertical="center"/>
    </xf>
    <xf numFmtId="169" fontId="36" fillId="0" borderId="3" xfId="7" applyNumberFormat="1" applyFont="1" applyBorder="1" applyAlignment="1">
      <alignment horizontal="center" vertical="center"/>
    </xf>
    <xf numFmtId="169" fontId="36" fillId="0" borderId="11" xfId="7" applyNumberFormat="1" applyFont="1" applyBorder="1" applyAlignment="1">
      <alignment horizontal="center" vertical="center"/>
    </xf>
    <xf numFmtId="166" fontId="36" fillId="0" borderId="11" xfId="7" applyNumberFormat="1" applyFont="1" applyBorder="1" applyAlignment="1">
      <alignment horizontal="left" vertical="center"/>
    </xf>
    <xf numFmtId="166" fontId="34" fillId="0" borderId="2" xfId="7" applyNumberFormat="1" applyFont="1" applyBorder="1" applyAlignment="1">
      <alignment horizontal="left" vertical="center"/>
    </xf>
    <xf numFmtId="166" fontId="33" fillId="0" borderId="1" xfId="7" applyNumberFormat="1" applyFont="1" applyBorder="1" applyAlignment="1">
      <alignment horizontal="left" vertical="center"/>
    </xf>
    <xf numFmtId="166" fontId="33" fillId="0" borderId="4" xfId="7" applyNumberFormat="1" applyFont="1" applyBorder="1" applyAlignment="1">
      <alignment horizontal="left" vertical="center"/>
    </xf>
    <xf numFmtId="166" fontId="31" fillId="0" borderId="1" xfId="7" applyNumberFormat="1" applyFont="1" applyBorder="1"/>
    <xf numFmtId="166" fontId="31" fillId="0" borderId="0" xfId="7" applyNumberFormat="1" applyFont="1" applyAlignment="1">
      <alignment horizontal="left" vertical="center" wrapText="1"/>
    </xf>
    <xf numFmtId="166" fontId="31" fillId="0" borderId="3" xfId="7" applyNumberFormat="1" applyFont="1" applyBorder="1" applyAlignment="1">
      <alignment horizontal="center" vertical="center"/>
    </xf>
    <xf numFmtId="0" fontId="30" fillId="0" borderId="0" xfId="7" applyFont="1" applyAlignment="1">
      <alignment horizontal="center" vertical="center"/>
    </xf>
    <xf numFmtId="166" fontId="12" fillId="0" borderId="0" xfId="7" applyNumberFormat="1" applyFont="1"/>
    <xf numFmtId="166" fontId="13" fillId="0" borderId="3" xfId="7" applyNumberFormat="1" applyFont="1" applyBorder="1"/>
    <xf numFmtId="166" fontId="12" fillId="0" borderId="3" xfId="7" applyNumberFormat="1" applyFont="1" applyBorder="1" applyAlignment="1">
      <alignment horizontal="center" vertical="center"/>
    </xf>
    <xf numFmtId="166" fontId="12" fillId="0" borderId="0" xfId="7" applyNumberFormat="1" applyFont="1" applyAlignment="1">
      <alignment horizontal="center" vertical="center"/>
    </xf>
    <xf numFmtId="10" fontId="13" fillId="0" borderId="0" xfId="4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3" fontId="12" fillId="0" borderId="0" xfId="7" applyNumberFormat="1" applyFont="1" applyAlignment="1">
      <alignment horizontal="center" vertical="center"/>
    </xf>
    <xf numFmtId="10" fontId="12" fillId="0" borderId="0" xfId="4" applyNumberFormat="1" applyFont="1" applyBorder="1" applyAlignment="1">
      <alignment horizontal="center" vertical="center"/>
    </xf>
    <xf numFmtId="10" fontId="12" fillId="0" borderId="0" xfId="4" applyNumberFormat="1" applyFont="1" applyAlignment="1">
      <alignment horizontal="center" vertical="center"/>
    </xf>
    <xf numFmtId="3" fontId="12" fillId="0" borderId="0" xfId="1" applyNumberFormat="1" applyFont="1" applyBorder="1" applyAlignment="1">
      <alignment horizontal="center" vertical="center"/>
    </xf>
    <xf numFmtId="168" fontId="12" fillId="0" borderId="0" xfId="4" applyNumberFormat="1" applyFont="1" applyAlignment="1">
      <alignment horizontal="center" vertical="center"/>
    </xf>
    <xf numFmtId="166" fontId="12" fillId="0" borderId="1" xfId="7" applyNumberFormat="1" applyFont="1" applyBorder="1"/>
    <xf numFmtId="10" fontId="12" fillId="0" borderId="1" xfId="4" applyNumberFormat="1" applyFont="1" applyBorder="1" applyAlignment="1">
      <alignment horizontal="center" vertical="center"/>
    </xf>
    <xf numFmtId="3" fontId="12" fillId="0" borderId="1" xfId="7" applyNumberFormat="1" applyFont="1" applyBorder="1" applyAlignment="1">
      <alignment horizontal="center" vertical="center"/>
    </xf>
    <xf numFmtId="166" fontId="12" fillId="0" borderId="2" xfId="7" applyNumberFormat="1" applyFont="1" applyBorder="1"/>
    <xf numFmtId="3" fontId="12" fillId="0" borderId="2" xfId="7" applyNumberFormat="1" applyFont="1" applyBorder="1" applyAlignment="1">
      <alignment horizontal="center" vertical="center"/>
    </xf>
    <xf numFmtId="166" fontId="13" fillId="0" borderId="0" xfId="7" applyNumberFormat="1" applyFont="1"/>
    <xf numFmtId="3" fontId="13" fillId="0" borderId="0" xfId="7" applyNumberFormat="1" applyFont="1" applyAlignment="1">
      <alignment horizontal="center" vertical="center"/>
    </xf>
    <xf numFmtId="166" fontId="13" fillId="0" borderId="0" xfId="7" applyNumberFormat="1" applyFont="1" applyAlignment="1">
      <alignment horizontal="center" vertical="center"/>
    </xf>
    <xf numFmtId="0" fontId="12" fillId="0" borderId="0" xfId="7" applyFont="1"/>
    <xf numFmtId="0" fontId="22" fillId="0" borderId="0" xfId="7" applyFont="1" applyAlignment="1">
      <alignment horizontal="center" vertical="center"/>
    </xf>
    <xf numFmtId="3" fontId="22" fillId="0" borderId="0" xfId="1" applyNumberFormat="1" applyFont="1" applyBorder="1" applyAlignment="1">
      <alignment horizontal="center" vertical="center"/>
    </xf>
    <xf numFmtId="3" fontId="22" fillId="0" borderId="0" xfId="7" applyNumberFormat="1" applyFont="1" applyAlignment="1">
      <alignment horizontal="center" vertical="center"/>
    </xf>
    <xf numFmtId="3" fontId="37" fillId="0" borderId="0" xfId="0" applyNumberFormat="1" applyFont="1" applyAlignment="1">
      <alignment horizontal="center" vertical="center"/>
    </xf>
    <xf numFmtId="0" fontId="12" fillId="0" borderId="0" xfId="7" applyFont="1" applyAlignment="1">
      <alignment horizontal="center" vertical="center"/>
    </xf>
    <xf numFmtId="0" fontId="23" fillId="0" borderId="0" xfId="7" applyFont="1" applyAlignment="1">
      <alignment horizontal="right" vertical="center"/>
    </xf>
    <xf numFmtId="3" fontId="23" fillId="0" borderId="0" xfId="1" applyNumberFormat="1" applyFont="1" applyBorder="1" applyAlignment="1">
      <alignment horizontal="center" vertical="center"/>
    </xf>
    <xf numFmtId="0" fontId="12" fillId="0" borderId="2" xfId="7" applyFont="1" applyBorder="1"/>
    <xf numFmtId="0" fontId="12" fillId="0" borderId="2" xfId="7" applyFont="1" applyBorder="1" applyAlignment="1">
      <alignment horizontal="center" vertical="center"/>
    </xf>
    <xf numFmtId="3" fontId="12" fillId="0" borderId="2" xfId="1" applyNumberFormat="1" applyFont="1" applyBorder="1" applyAlignment="1">
      <alignment horizontal="center" vertical="center"/>
    </xf>
    <xf numFmtId="0" fontId="13" fillId="0" borderId="0" xfId="7" applyFont="1"/>
    <xf numFmtId="0" fontId="13" fillId="0" borderId="0" xfId="7" applyFont="1" applyAlignment="1">
      <alignment horizontal="center" vertical="center"/>
    </xf>
    <xf numFmtId="3" fontId="13" fillId="0" borderId="0" xfId="1" applyNumberFormat="1" applyFont="1" applyBorder="1" applyAlignment="1">
      <alignment horizontal="center" vertical="center"/>
    </xf>
    <xf numFmtId="0" fontId="13" fillId="0" borderId="2" xfId="7" applyFont="1" applyBorder="1"/>
    <xf numFmtId="0" fontId="13" fillId="0" borderId="2" xfId="7" applyFont="1" applyBorder="1" applyAlignment="1">
      <alignment horizontal="center" vertical="center"/>
    </xf>
    <xf numFmtId="3" fontId="13" fillId="0" borderId="2" xfId="1" applyNumberFormat="1" applyFont="1" applyBorder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167" fontId="12" fillId="0" borderId="0" xfId="1" applyNumberFormat="1" applyFont="1"/>
    <xf numFmtId="167" fontId="12" fillId="0" borderId="3" xfId="1" applyNumberFormat="1" applyFont="1" applyBorder="1" applyAlignment="1">
      <alignment horizontal="center" vertical="center"/>
    </xf>
    <xf numFmtId="3" fontId="13" fillId="0" borderId="3" xfId="1" applyNumberFormat="1" applyFont="1" applyBorder="1" applyAlignment="1">
      <alignment horizontal="center" vertical="center"/>
    </xf>
    <xf numFmtId="167" fontId="13" fillId="0" borderId="0" xfId="1" applyNumberFormat="1" applyFont="1"/>
    <xf numFmtId="166" fontId="12" fillId="0" borderId="2" xfId="7" applyNumberFormat="1" applyFont="1" applyBorder="1" applyAlignment="1">
      <alignment horizontal="center" vertical="center"/>
    </xf>
    <xf numFmtId="166" fontId="22" fillId="0" borderId="0" xfId="7" applyNumberFormat="1" applyFont="1"/>
    <xf numFmtId="166" fontId="23" fillId="0" borderId="0" xfId="7" applyNumberFormat="1" applyFont="1" applyAlignment="1">
      <alignment horizontal="center" vertical="center"/>
    </xf>
    <xf numFmtId="10" fontId="22" fillId="0" borderId="0" xfId="4" applyNumberFormat="1" applyFont="1" applyAlignment="1">
      <alignment horizontal="center" vertical="center"/>
    </xf>
    <xf numFmtId="166" fontId="13" fillId="0" borderId="3" xfId="7" applyNumberFormat="1" applyFont="1" applyBorder="1" applyAlignment="1">
      <alignment horizontal="center" vertical="center"/>
    </xf>
    <xf numFmtId="3" fontId="23" fillId="0" borderId="0" xfId="7" applyNumberFormat="1" applyFont="1" applyAlignment="1">
      <alignment horizontal="center" vertical="center"/>
    </xf>
    <xf numFmtId="166" fontId="12" fillId="0" borderId="4" xfId="7" applyNumberFormat="1" applyFont="1" applyBorder="1"/>
    <xf numFmtId="3" fontId="12" fillId="0" borderId="4" xfId="7" applyNumberFormat="1" applyFont="1" applyBorder="1" applyAlignment="1">
      <alignment horizontal="center" vertical="center"/>
    </xf>
    <xf numFmtId="3" fontId="12" fillId="0" borderId="0" xfId="1" applyNumberFormat="1" applyFont="1" applyAlignment="1">
      <alignment horizontal="center" vertical="center"/>
    </xf>
    <xf numFmtId="3" fontId="13" fillId="0" borderId="0" xfId="1" applyNumberFormat="1" applyFont="1" applyAlignment="1">
      <alignment horizontal="center" vertical="center"/>
    </xf>
    <xf numFmtId="10" fontId="13" fillId="0" borderId="0" xfId="4" applyNumberFormat="1" applyFont="1" applyAlignment="1">
      <alignment horizontal="center" vertical="center"/>
    </xf>
    <xf numFmtId="166" fontId="12" fillId="0" borderId="1" xfId="7" applyNumberFormat="1" applyFont="1" applyBorder="1" applyAlignment="1">
      <alignment horizontal="center" vertical="center"/>
    </xf>
    <xf numFmtId="166" fontId="10" fillId="0" borderId="0" xfId="7" applyNumberFormat="1" applyFont="1" applyAlignment="1">
      <alignment horizontal="center" vertical="center"/>
    </xf>
    <xf numFmtId="166" fontId="10" fillId="0" borderId="0" xfId="7" applyNumberFormat="1" applyFont="1"/>
    <xf numFmtId="169" fontId="39" fillId="0" borderId="2" xfId="7" applyNumberFormat="1" applyFont="1" applyBorder="1" applyAlignment="1">
      <alignment horizontal="center" vertical="center"/>
    </xf>
    <xf numFmtId="166" fontId="9" fillId="0" borderId="0" xfId="7" applyNumberFormat="1" applyFont="1" applyAlignment="1">
      <alignment horizontal="left" vertical="center"/>
    </xf>
    <xf numFmtId="169" fontId="9" fillId="0" borderId="0" xfId="7" applyNumberFormat="1" applyFont="1" applyAlignment="1">
      <alignment horizontal="center" vertical="center"/>
    </xf>
    <xf numFmtId="167" fontId="10" fillId="0" borderId="0" xfId="1" applyNumberFormat="1" applyFont="1"/>
    <xf numFmtId="169" fontId="10" fillId="0" borderId="5" xfId="7" applyNumberFormat="1" applyFont="1" applyBorder="1" applyAlignment="1">
      <alignment horizontal="center" vertical="center"/>
    </xf>
    <xf numFmtId="169" fontId="10" fillId="0" borderId="2" xfId="7" applyNumberFormat="1" applyFont="1" applyBorder="1" applyAlignment="1">
      <alignment horizontal="center" vertical="center"/>
    </xf>
    <xf numFmtId="169" fontId="10" fillId="0" borderId="8" xfId="7" applyNumberFormat="1" applyFont="1" applyBorder="1" applyAlignment="1">
      <alignment horizontal="center" vertical="center"/>
    </xf>
    <xf numFmtId="169" fontId="39" fillId="0" borderId="1" xfId="7" applyNumberFormat="1" applyFont="1" applyBorder="1" applyAlignment="1">
      <alignment horizontal="center" vertical="center"/>
    </xf>
    <xf numFmtId="169" fontId="39" fillId="0" borderId="7" xfId="7" applyNumberFormat="1" applyFont="1" applyBorder="1" applyAlignment="1">
      <alignment horizontal="center" vertical="center"/>
    </xf>
    <xf numFmtId="169" fontId="38" fillId="0" borderId="1" xfId="7" applyNumberFormat="1" applyFont="1" applyBorder="1" applyAlignment="1">
      <alignment horizontal="center" vertical="center"/>
    </xf>
    <xf numFmtId="169" fontId="9" fillId="0" borderId="5" xfId="7" applyNumberFormat="1" applyFont="1" applyBorder="1" applyAlignment="1">
      <alignment horizontal="center" vertical="center"/>
    </xf>
    <xf numFmtId="169" fontId="39" fillId="0" borderId="4" xfId="7" applyNumberFormat="1" applyFont="1" applyBorder="1" applyAlignment="1">
      <alignment horizontal="center" vertical="center"/>
    </xf>
    <xf numFmtId="169" fontId="39" fillId="0" borderId="9" xfId="7" applyNumberFormat="1" applyFont="1" applyBorder="1" applyAlignment="1">
      <alignment horizontal="center" vertical="center"/>
    </xf>
    <xf numFmtId="169" fontId="38" fillId="0" borderId="4" xfId="7" applyNumberFormat="1" applyFont="1" applyBorder="1" applyAlignment="1">
      <alignment horizontal="center" vertical="center"/>
    </xf>
    <xf numFmtId="166" fontId="38" fillId="0" borderId="0" xfId="7" applyNumberFormat="1" applyFont="1" applyAlignment="1">
      <alignment vertical="center" textRotation="90"/>
    </xf>
    <xf numFmtId="166" fontId="10" fillId="0" borderId="3" xfId="7" applyNumberFormat="1" applyFont="1" applyBorder="1" applyAlignment="1">
      <alignment horizontal="left" vertical="center"/>
    </xf>
    <xf numFmtId="10" fontId="10" fillId="0" borderId="0" xfId="4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166" fontId="12" fillId="0" borderId="0" xfId="7" applyNumberFormat="1" applyFont="1" applyAlignment="1">
      <alignment horizontal="center" vertical="center" wrapText="1"/>
    </xf>
    <xf numFmtId="166" fontId="12" fillId="0" borderId="2" xfId="7" applyNumberFormat="1" applyFont="1" applyBorder="1" applyAlignment="1">
      <alignment horizontal="center" vertical="center" wrapText="1"/>
    </xf>
    <xf numFmtId="3" fontId="28" fillId="0" borderId="0" xfId="0" applyNumberFormat="1" applyFont="1" applyAlignment="1">
      <alignment horizontal="center" vertical="center"/>
    </xf>
    <xf numFmtId="166" fontId="13" fillId="0" borderId="11" xfId="7" applyNumberFormat="1" applyFont="1" applyBorder="1"/>
    <xf numFmtId="167" fontId="13" fillId="0" borderId="0" xfId="1" applyNumberFormat="1" applyFont="1" applyAlignment="1">
      <alignment horizontal="center" vertical="center"/>
    </xf>
    <xf numFmtId="3" fontId="12" fillId="0" borderId="3" xfId="7" applyNumberFormat="1" applyFont="1" applyBorder="1" applyAlignment="1">
      <alignment horizontal="center" vertical="center"/>
    </xf>
    <xf numFmtId="166" fontId="12" fillId="0" borderId="8" xfId="7" applyNumberFormat="1" applyFont="1" applyBorder="1"/>
    <xf numFmtId="166" fontId="22" fillId="0" borderId="8" xfId="7" applyNumberFormat="1" applyFont="1" applyBorder="1"/>
    <xf numFmtId="10" fontId="22" fillId="0" borderId="2" xfId="4" applyNumberFormat="1" applyFont="1" applyBorder="1" applyAlignment="1">
      <alignment horizontal="center" vertical="center"/>
    </xf>
    <xf numFmtId="3" fontId="13" fillId="0" borderId="2" xfId="7" applyNumberFormat="1" applyFont="1" applyBorder="1" applyAlignment="1">
      <alignment horizontal="center" vertical="center"/>
    </xf>
    <xf numFmtId="168" fontId="22" fillId="0" borderId="0" xfId="4" applyNumberFormat="1" applyFont="1" applyAlignment="1">
      <alignment horizontal="center" vertical="center"/>
    </xf>
    <xf numFmtId="10" fontId="31" fillId="0" borderId="2" xfId="4" applyNumberFormat="1" applyFont="1" applyBorder="1" applyAlignment="1">
      <alignment horizontal="center" vertical="center"/>
    </xf>
    <xf numFmtId="166" fontId="31" fillId="0" borderId="2" xfId="7" applyNumberFormat="1" applyFont="1" applyBorder="1" applyAlignment="1">
      <alignment horizontal="left" vertical="center" wrapText="1"/>
    </xf>
    <xf numFmtId="166" fontId="31" fillId="0" borderId="0" xfId="7" applyNumberFormat="1" applyFont="1" applyAlignment="1">
      <alignment horizontal="left" vertical="center"/>
    </xf>
    <xf numFmtId="169" fontId="36" fillId="0" borderId="0" xfId="7" applyNumberFormat="1" applyFont="1" applyAlignment="1">
      <alignment horizontal="center" vertical="center"/>
    </xf>
    <xf numFmtId="166" fontId="32" fillId="0" borderId="0" xfId="7" applyNumberFormat="1" applyFont="1" applyAlignment="1">
      <alignment horizontal="center" vertical="center"/>
    </xf>
    <xf numFmtId="166" fontId="31" fillId="0" borderId="2" xfId="7" applyNumberFormat="1" applyFont="1" applyBorder="1" applyAlignment="1">
      <alignment horizontal="center" vertical="center"/>
    </xf>
    <xf numFmtId="10" fontId="27" fillId="0" borderId="0" xfId="4" applyNumberFormat="1" applyFont="1" applyBorder="1" applyAlignment="1">
      <alignment horizontal="center" vertical="center"/>
    </xf>
    <xf numFmtId="3" fontId="27" fillId="0" borderId="0" xfId="1" applyNumberFormat="1" applyFont="1" applyBorder="1" applyAlignment="1">
      <alignment horizontal="center" vertical="center"/>
    </xf>
    <xf numFmtId="10" fontId="27" fillId="0" borderId="1" xfId="4" applyNumberFormat="1" applyFont="1" applyBorder="1" applyAlignment="1">
      <alignment horizontal="center" vertical="center"/>
    </xf>
    <xf numFmtId="10" fontId="27" fillId="0" borderId="2" xfId="4" applyNumberFormat="1" applyFont="1" applyBorder="1" applyAlignment="1">
      <alignment horizontal="center" vertical="center"/>
    </xf>
    <xf numFmtId="0" fontId="34" fillId="0" borderId="0" xfId="9" applyFont="1" applyAlignment="1">
      <alignment horizontal="center"/>
    </xf>
    <xf numFmtId="0" fontId="10" fillId="0" borderId="0" xfId="9" applyFont="1"/>
    <xf numFmtId="0" fontId="34" fillId="0" borderId="0" xfId="9" applyFont="1"/>
    <xf numFmtId="170" fontId="10" fillId="0" borderId="0" xfId="9" applyNumberFormat="1" applyFont="1"/>
    <xf numFmtId="168" fontId="7" fillId="0" borderId="0" xfId="11" applyNumberFormat="1" applyFont="1"/>
    <xf numFmtId="0" fontId="10" fillId="0" borderId="1" xfId="9" applyFont="1" applyBorder="1"/>
    <xf numFmtId="0" fontId="10" fillId="0" borderId="26" xfId="9" applyFont="1" applyBorder="1"/>
    <xf numFmtId="0" fontId="34" fillId="0" borderId="5" xfId="9" applyFont="1" applyBorder="1" applyAlignment="1">
      <alignment horizontal="center" vertical="center"/>
    </xf>
    <xf numFmtId="0" fontId="34" fillId="0" borderId="0" xfId="9" applyFont="1" applyAlignment="1">
      <alignment horizontal="center" vertical="center"/>
    </xf>
    <xf numFmtId="0" fontId="34" fillId="0" borderId="6" xfId="9" applyFont="1" applyBorder="1" applyAlignment="1">
      <alignment horizontal="center" vertical="center"/>
    </xf>
    <xf numFmtId="0" fontId="34" fillId="0" borderId="5" xfId="9" applyFont="1" applyBorder="1" applyAlignment="1">
      <alignment horizontal="center"/>
    </xf>
    <xf numFmtId="170" fontId="7" fillId="0" borderId="0" xfId="10" applyNumberFormat="1" applyFont="1" applyBorder="1" applyAlignment="1">
      <alignment horizontal="center"/>
    </xf>
    <xf numFmtId="170" fontId="10" fillId="0" borderId="6" xfId="9" applyNumberFormat="1" applyFont="1" applyBorder="1" applyAlignment="1">
      <alignment horizontal="center"/>
    </xf>
    <xf numFmtId="0" fontId="10" fillId="0" borderId="5" xfId="9" applyFont="1" applyBorder="1" applyAlignment="1">
      <alignment horizontal="center"/>
    </xf>
    <xf numFmtId="0" fontId="34" fillId="0" borderId="8" xfId="9" applyFont="1" applyBorder="1"/>
    <xf numFmtId="170" fontId="9" fillId="0" borderId="2" xfId="9" applyNumberFormat="1" applyFont="1" applyBorder="1"/>
    <xf numFmtId="170" fontId="9" fillId="0" borderId="27" xfId="9" applyNumberFormat="1" applyFont="1" applyBorder="1"/>
    <xf numFmtId="0" fontId="34" fillId="0" borderId="7" xfId="9" applyFont="1" applyBorder="1"/>
    <xf numFmtId="0" fontId="34" fillId="2" borderId="1" xfId="9" applyFont="1" applyFill="1" applyBorder="1"/>
    <xf numFmtId="0" fontId="34" fillId="0" borderId="5" xfId="9" applyFont="1" applyBorder="1"/>
    <xf numFmtId="170" fontId="34" fillId="2" borderId="0" xfId="10" applyNumberFormat="1" applyFont="1" applyFill="1" applyBorder="1"/>
    <xf numFmtId="0" fontId="35" fillId="0" borderId="0" xfId="9" applyFont="1"/>
    <xf numFmtId="0" fontId="10" fillId="0" borderId="6" xfId="9" applyFont="1" applyBorder="1"/>
    <xf numFmtId="9" fontId="34" fillId="2" borderId="2" xfId="9" applyNumberFormat="1" applyFont="1" applyFill="1" applyBorder="1"/>
    <xf numFmtId="0" fontId="10" fillId="0" borderId="2" xfId="9" applyFont="1" applyBorder="1"/>
    <xf numFmtId="0" fontId="10" fillId="0" borderId="27" xfId="9" applyFont="1" applyBorder="1"/>
    <xf numFmtId="0" fontId="34" fillId="0" borderId="1" xfId="9" applyFont="1" applyBorder="1" applyAlignment="1">
      <alignment horizontal="center"/>
    </xf>
    <xf numFmtId="0" fontId="34" fillId="0" borderId="26" xfId="9" applyFont="1" applyBorder="1" applyAlignment="1">
      <alignment horizontal="center"/>
    </xf>
    <xf numFmtId="170" fontId="7" fillId="0" borderId="0" xfId="10" applyNumberFormat="1" applyFont="1" applyBorder="1"/>
    <xf numFmtId="9" fontId="34" fillId="0" borderId="0" xfId="9" applyNumberFormat="1" applyFont="1"/>
    <xf numFmtId="170" fontId="10" fillId="0" borderId="6" xfId="9" applyNumberFormat="1" applyFont="1" applyBorder="1"/>
    <xf numFmtId="9" fontId="40" fillId="0" borderId="0" xfId="9" applyNumberFormat="1" applyFont="1"/>
    <xf numFmtId="0" fontId="10" fillId="0" borderId="5" xfId="9" applyFont="1" applyBorder="1"/>
    <xf numFmtId="0" fontId="10" fillId="0" borderId="8" xfId="9" applyFont="1" applyBorder="1"/>
    <xf numFmtId="170" fontId="10" fillId="0" borderId="2" xfId="9" applyNumberFormat="1" applyFont="1" applyBorder="1"/>
    <xf numFmtId="9" fontId="40" fillId="0" borderId="2" xfId="9" applyNumberFormat="1" applyFont="1" applyBorder="1"/>
    <xf numFmtId="170" fontId="7" fillId="0" borderId="2" xfId="10" applyNumberFormat="1" applyFont="1" applyBorder="1"/>
    <xf numFmtId="170" fontId="10" fillId="0" borderId="27" xfId="9" applyNumberFormat="1" applyFont="1" applyBorder="1"/>
    <xf numFmtId="170" fontId="10" fillId="0" borderId="26" xfId="9" applyNumberFormat="1" applyFont="1" applyBorder="1"/>
    <xf numFmtId="170" fontId="7" fillId="0" borderId="5" xfId="10" applyNumberFormat="1" applyFont="1" applyBorder="1"/>
    <xf numFmtId="170" fontId="10" fillId="0" borderId="5" xfId="9" applyNumberFormat="1" applyFont="1" applyBorder="1"/>
    <xf numFmtId="170" fontId="10" fillId="0" borderId="8" xfId="9" applyNumberFormat="1" applyFont="1" applyBorder="1"/>
    <xf numFmtId="0" fontId="34" fillId="0" borderId="9" xfId="9" applyFont="1" applyBorder="1"/>
    <xf numFmtId="0" fontId="34" fillId="0" borderId="4" xfId="9" applyFont="1" applyBorder="1" applyAlignment="1">
      <alignment horizontal="center"/>
    </xf>
    <xf numFmtId="0" fontId="34" fillId="0" borderId="10" xfId="9" applyFont="1" applyBorder="1" applyAlignment="1">
      <alignment horizontal="center"/>
    </xf>
    <xf numFmtId="0" fontId="36" fillId="0" borderId="7" xfId="9" applyFont="1" applyBorder="1"/>
    <xf numFmtId="0" fontId="36" fillId="0" borderId="1" xfId="9" applyFont="1" applyBorder="1" applyAlignment="1">
      <alignment horizontal="center"/>
    </xf>
    <xf numFmtId="0" fontId="34" fillId="0" borderId="4" xfId="9" applyFont="1" applyBorder="1" applyAlignment="1">
      <alignment wrapText="1"/>
    </xf>
    <xf numFmtId="0" fontId="34" fillId="0" borderId="10" xfId="9" applyFont="1" applyBorder="1" applyAlignment="1">
      <alignment wrapText="1"/>
    </xf>
    <xf numFmtId="0" fontId="34" fillId="0" borderId="28" xfId="9" applyFont="1" applyBorder="1"/>
    <xf numFmtId="0" fontId="10" fillId="0" borderId="22" xfId="9" applyFont="1" applyBorder="1"/>
    <xf numFmtId="0" fontId="10" fillId="0" borderId="24" xfId="9" applyFont="1" applyBorder="1"/>
    <xf numFmtId="0" fontId="34" fillId="0" borderId="1" xfId="9" applyFont="1" applyBorder="1"/>
    <xf numFmtId="0" fontId="34" fillId="0" borderId="26" xfId="9" applyFont="1" applyBorder="1"/>
    <xf numFmtId="170" fontId="40" fillId="0" borderId="0" xfId="10" applyNumberFormat="1" applyFont="1" applyBorder="1"/>
    <xf numFmtId="0" fontId="36" fillId="0" borderId="8" xfId="9" applyFont="1" applyBorder="1"/>
    <xf numFmtId="170" fontId="40" fillId="0" borderId="1" xfId="10" applyNumberFormat="1" applyFont="1" applyBorder="1"/>
    <xf numFmtId="170" fontId="40" fillId="0" borderId="2" xfId="10" applyNumberFormat="1" applyFont="1" applyBorder="1"/>
    <xf numFmtId="166" fontId="22" fillId="0" borderId="6" xfId="7" applyNumberFormat="1" applyFont="1" applyBorder="1" applyAlignment="1">
      <alignment horizontal="center" vertical="center" textRotation="90"/>
    </xf>
    <xf numFmtId="167" fontId="29" fillId="0" borderId="6" xfId="1" applyNumberFormat="1" applyFont="1" applyBorder="1" applyAlignment="1">
      <alignment horizontal="center" vertical="center" textRotation="90"/>
    </xf>
    <xf numFmtId="166" fontId="29" fillId="0" borderId="6" xfId="7" applyNumberFormat="1" applyFont="1" applyBorder="1" applyAlignment="1">
      <alignment horizontal="center" vertical="center" textRotation="90"/>
    </xf>
    <xf numFmtId="0" fontId="22" fillId="0" borderId="6" xfId="7" applyFont="1" applyBorder="1" applyAlignment="1">
      <alignment horizontal="center" vertical="center" textRotation="90"/>
    </xf>
    <xf numFmtId="0" fontId="29" fillId="0" borderId="6" xfId="7" applyFont="1" applyBorder="1" applyAlignment="1">
      <alignment horizontal="center" vertical="center" textRotation="90"/>
    </xf>
    <xf numFmtId="167" fontId="22" fillId="0" borderId="6" xfId="1" applyNumberFormat="1" applyFont="1" applyBorder="1" applyAlignment="1">
      <alignment horizontal="center" vertical="center" textRotation="90"/>
    </xf>
    <xf numFmtId="166" fontId="33" fillId="0" borderId="6" xfId="7" applyNumberFormat="1" applyFont="1" applyBorder="1" applyAlignment="1">
      <alignment horizontal="center" vertical="center" textRotation="90"/>
    </xf>
    <xf numFmtId="169" fontId="36" fillId="0" borderId="2" xfId="7" applyNumberFormat="1" applyFont="1" applyBorder="1" applyAlignment="1">
      <alignment horizontal="center" vertical="center"/>
    </xf>
    <xf numFmtId="169" fontId="36" fillId="0" borderId="8" xfId="7" applyNumberFormat="1" applyFont="1" applyBorder="1" applyAlignment="1">
      <alignment horizontal="center" vertical="center"/>
    </xf>
    <xf numFmtId="0" fontId="34" fillId="0" borderId="0" xfId="9" applyFont="1" applyAlignment="1">
      <alignment horizontal="center"/>
    </xf>
    <xf numFmtId="0" fontId="25" fillId="0" borderId="0" xfId="8" applyFont="1" applyAlignment="1">
      <alignment horizontal="center" vertical="center"/>
    </xf>
    <xf numFmtId="0" fontId="25" fillId="0" borderId="16" xfId="8" applyFont="1" applyBorder="1" applyAlignment="1">
      <alignment horizontal="center" vertical="center"/>
    </xf>
    <xf numFmtId="0" fontId="25" fillId="0" borderId="17" xfId="8" applyFont="1" applyBorder="1" applyAlignment="1">
      <alignment horizontal="center" vertical="center"/>
    </xf>
    <xf numFmtId="0" fontId="25" fillId="0" borderId="0" xfId="8" applyFont="1" applyAlignment="1">
      <alignment horizontal="center" vertical="center" textRotation="90"/>
    </xf>
    <xf numFmtId="169" fontId="16" fillId="0" borderId="2" xfId="7" applyNumberFormat="1" applyFont="1" applyBorder="1" applyAlignment="1">
      <alignment horizontal="center" vertical="center"/>
    </xf>
    <xf numFmtId="169" fontId="16" fillId="0" borderId="8" xfId="7" applyNumberFormat="1" applyFont="1" applyBorder="1" applyAlignment="1">
      <alignment horizontal="center" vertical="center"/>
    </xf>
    <xf numFmtId="169" fontId="16" fillId="0" borderId="0" xfId="7" applyNumberFormat="1" applyFont="1" applyAlignment="1">
      <alignment horizontal="center" vertical="center"/>
    </xf>
    <xf numFmtId="169" fontId="16" fillId="0" borderId="5" xfId="7" applyNumberFormat="1" applyFont="1" applyBorder="1" applyAlignment="1">
      <alignment horizontal="center" vertical="center"/>
    </xf>
    <xf numFmtId="169" fontId="1" fillId="0" borderId="0" xfId="12" applyNumberFormat="1"/>
    <xf numFmtId="169" fontId="42" fillId="0" borderId="0" xfId="12" applyNumberFormat="1" applyFont="1"/>
    <xf numFmtId="169" fontId="43" fillId="0" borderId="0" xfId="13" applyNumberFormat="1"/>
    <xf numFmtId="0" fontId="5" fillId="0" borderId="0" xfId="7"/>
    <xf numFmtId="169" fontId="44" fillId="0" borderId="0" xfId="12" applyNumberFormat="1" applyFont="1"/>
    <xf numFmtId="169" fontId="41" fillId="0" borderId="0" xfId="12" applyNumberFormat="1" applyFont="1"/>
    <xf numFmtId="169" fontId="42" fillId="3" borderId="0" xfId="12" applyNumberFormat="1" applyFont="1" applyFill="1"/>
    <xf numFmtId="169" fontId="44" fillId="3" borderId="0" xfId="12" applyNumberFormat="1" applyFont="1" applyFill="1"/>
  </cellXfs>
  <cellStyles count="14">
    <cellStyle name="Collegamento ipertestuale 2" xfId="13" xr:uid="{7E4446EC-7F66-4B03-B9BA-9CBD351F6031}"/>
    <cellStyle name="Migliaia" xfId="1" builtinId="3"/>
    <cellStyle name="Migliaia 2" xfId="10" xr:uid="{CBD266A3-FA7A-47A9-80C2-127CACE2CC35}"/>
    <cellStyle name="Normale" xfId="0" builtinId="0"/>
    <cellStyle name="Normale 2" xfId="2" xr:uid="{00000000-0005-0000-0000-000002000000}"/>
    <cellStyle name="Normale 2 2" xfId="12" xr:uid="{DB1F7AB9-7D53-474C-AEAE-0690A6829D7B}"/>
    <cellStyle name="Normale 3" xfId="3" xr:uid="{00000000-0005-0000-0000-000003000000}"/>
    <cellStyle name="Normale 4" xfId="6" xr:uid="{00000000-0005-0000-0000-000004000000}"/>
    <cellStyle name="Normale 5" xfId="7" xr:uid="{00000000-0005-0000-0000-000005000000}"/>
    <cellStyle name="Normale 6" xfId="8" xr:uid="{00000000-0005-0000-0000-000006000000}"/>
    <cellStyle name="Normale 7" xfId="9" xr:uid="{682D7C63-6EC0-4436-9A4C-AD20D2D518E6}"/>
    <cellStyle name="Percentuale" xfId="4" builtinId="5"/>
    <cellStyle name="Percentuale 2" xfId="5" xr:uid="{00000000-0005-0000-0000-000008000000}"/>
    <cellStyle name="Percentuale 3" xfId="11" xr:uid="{FC680E84-762D-438A-A3B7-1261A23C2DA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262117</xdr:colOff>
      <xdr:row>1</xdr:row>
      <xdr:rowOff>20031</xdr:rowOff>
    </xdr:from>
    <xdr:ext cx="2376544" cy="2379458"/>
    <xdr:pic>
      <xdr:nvPicPr>
        <xdr:cNvPr id="2" name="Immagine 1">
          <a:extLst>
            <a:ext uri="{FF2B5EF4-FFF2-40B4-BE49-F238E27FC236}">
              <a16:creationId xmlns:a16="http://schemas.microsoft.com/office/drawing/2014/main" id="{757BFA13-C39B-4602-83D3-267997B4F7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1317" y="181956"/>
          <a:ext cx="2376544" cy="2379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ropertyfinance.it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319DC-C85B-4295-A68F-8CDD062CA9E5}">
  <dimension ref="B2:C15"/>
  <sheetViews>
    <sheetView showGridLines="0" tabSelected="1" zoomScale="235" zoomScaleNormal="235" workbookViewId="0">
      <selection activeCell="B9" sqref="B9"/>
    </sheetView>
  </sheetViews>
  <sheetFormatPr defaultRowHeight="15" x14ac:dyDescent="0.25"/>
  <cols>
    <col min="1" max="1" width="9.140625" style="362"/>
    <col min="2" max="2" width="48.7109375" style="362" bestFit="1" customWidth="1"/>
    <col min="3" max="16384" width="9.140625" style="362"/>
  </cols>
  <sheetData>
    <row r="2" spans="2:3" x14ac:dyDescent="0.25">
      <c r="B2" s="362" t="s">
        <v>201</v>
      </c>
    </row>
    <row r="4" spans="2:3" x14ac:dyDescent="0.25">
      <c r="B4" s="369" t="s">
        <v>200</v>
      </c>
    </row>
    <row r="5" spans="2:3" x14ac:dyDescent="0.25">
      <c r="B5" s="368" t="s">
        <v>199</v>
      </c>
    </row>
    <row r="7" spans="2:3" x14ac:dyDescent="0.25">
      <c r="B7" s="367" t="s">
        <v>202</v>
      </c>
    </row>
    <row r="8" spans="2:3" x14ac:dyDescent="0.25">
      <c r="B8" s="366" t="s">
        <v>203</v>
      </c>
    </row>
    <row r="9" spans="2:3" x14ac:dyDescent="0.25">
      <c r="B9" s="363"/>
    </row>
    <row r="11" spans="2:3" x14ac:dyDescent="0.25">
      <c r="B11" s="362" t="s">
        <v>198</v>
      </c>
      <c r="C11" s="365"/>
    </row>
    <row r="12" spans="2:3" x14ac:dyDescent="0.25">
      <c r="B12" s="364" t="s">
        <v>197</v>
      </c>
    </row>
    <row r="14" spans="2:3" x14ac:dyDescent="0.25">
      <c r="B14" s="363" t="s">
        <v>196</v>
      </c>
    </row>
    <row r="15" spans="2:3" x14ac:dyDescent="0.25">
      <c r="B15" s="363" t="s">
        <v>195</v>
      </c>
    </row>
  </sheetData>
  <hyperlinks>
    <hyperlink ref="B12" r:id="rId1" xr:uid="{FF71D692-5A1E-42FA-A2BD-661631D5015F}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F9571-9008-4CB2-BE7A-6069579D6244}">
  <sheetPr>
    <tabColor rgb="FF92D050"/>
  </sheetPr>
  <dimension ref="A1:G13"/>
  <sheetViews>
    <sheetView showGridLines="0" zoomScaleNormal="100" workbookViewId="0">
      <selection activeCell="H12" sqref="E3:H12"/>
    </sheetView>
  </sheetViews>
  <sheetFormatPr defaultRowHeight="15.75" x14ac:dyDescent="0.25"/>
  <cols>
    <col min="1" max="1" width="33.28515625" style="287" bestFit="1" customWidth="1"/>
    <col min="2" max="2" width="21" style="287" bestFit="1" customWidth="1"/>
    <col min="3" max="3" width="7.28515625" style="287" customWidth="1"/>
    <col min="4" max="7" width="14.42578125" style="287" customWidth="1"/>
    <col min="8" max="16384" width="9.140625" style="287"/>
  </cols>
  <sheetData>
    <row r="1" spans="1:7" x14ac:dyDescent="0.25">
      <c r="A1" s="288" t="s">
        <v>177</v>
      </c>
    </row>
    <row r="4" spans="1:7" x14ac:dyDescent="0.25">
      <c r="C4" s="303" t="s">
        <v>187</v>
      </c>
      <c r="D4" s="332"/>
      <c r="E4" s="312"/>
      <c r="F4" s="312"/>
      <c r="G4" s="313"/>
    </row>
    <row r="5" spans="1:7" ht="47.25" x14ac:dyDescent="0.25">
      <c r="C5" s="328" t="s">
        <v>174</v>
      </c>
      <c r="D5" s="333" t="s">
        <v>193</v>
      </c>
      <c r="E5" s="333" t="s">
        <v>187</v>
      </c>
      <c r="F5" s="333" t="s">
        <v>180</v>
      </c>
      <c r="G5" s="334" t="s">
        <v>194</v>
      </c>
    </row>
    <row r="6" spans="1:7" x14ac:dyDescent="0.25">
      <c r="C6" s="335">
        <v>1</v>
      </c>
      <c r="D6" s="314">
        <f>RightOfUse!$D$21</f>
        <v>16965489.749900796</v>
      </c>
      <c r="E6" s="289">
        <f>F6</f>
        <v>2120686.2187375994</v>
      </c>
      <c r="F6" s="289">
        <f t="shared" ref="F6:F13" si="0">D6/$C$13</f>
        <v>2120686.2187375994</v>
      </c>
      <c r="G6" s="316">
        <f>D6-E6</f>
        <v>14844803.531163197</v>
      </c>
    </row>
    <row r="7" spans="1:7" x14ac:dyDescent="0.25">
      <c r="C7" s="336">
        <f>C6+1</f>
        <v>2</v>
      </c>
      <c r="D7" s="314">
        <f>RightOfUse!$D$21</f>
        <v>16965489.749900796</v>
      </c>
      <c r="E7" s="289">
        <f>E6+F7</f>
        <v>4241372.4374751989</v>
      </c>
      <c r="F7" s="289">
        <f t="shared" si="0"/>
        <v>2120686.2187375994</v>
      </c>
      <c r="G7" s="316">
        <f t="shared" ref="G7:G13" si="1">D7-E7</f>
        <v>12724117.312425597</v>
      </c>
    </row>
    <row r="8" spans="1:7" x14ac:dyDescent="0.25">
      <c r="C8" s="336">
        <f t="shared" ref="C8:C13" si="2">C7+1</f>
        <v>3</v>
      </c>
      <c r="D8" s="314">
        <f>RightOfUse!$D$21</f>
        <v>16965489.749900796</v>
      </c>
      <c r="E8" s="289">
        <f t="shared" ref="E8:E13" si="3">E7+F8</f>
        <v>6362058.6562127983</v>
      </c>
      <c r="F8" s="289">
        <f t="shared" si="0"/>
        <v>2120686.2187375994</v>
      </c>
      <c r="G8" s="316">
        <f t="shared" si="1"/>
        <v>10603431.093687996</v>
      </c>
    </row>
    <row r="9" spans="1:7" x14ac:dyDescent="0.25">
      <c r="C9" s="336">
        <f t="shared" si="2"/>
        <v>4</v>
      </c>
      <c r="D9" s="314">
        <f>RightOfUse!$D$21</f>
        <v>16965489.749900796</v>
      </c>
      <c r="E9" s="289">
        <f t="shared" si="3"/>
        <v>8482744.8749503978</v>
      </c>
      <c r="F9" s="289">
        <f t="shared" si="0"/>
        <v>2120686.2187375994</v>
      </c>
      <c r="G9" s="316">
        <f t="shared" si="1"/>
        <v>8482744.8749503978</v>
      </c>
    </row>
    <row r="10" spans="1:7" x14ac:dyDescent="0.25">
      <c r="C10" s="336">
        <f t="shared" si="2"/>
        <v>5</v>
      </c>
      <c r="D10" s="314">
        <f>RightOfUse!$D$21</f>
        <v>16965489.749900796</v>
      </c>
      <c r="E10" s="289">
        <f t="shared" si="3"/>
        <v>10603431.093687996</v>
      </c>
      <c r="F10" s="289">
        <f t="shared" si="0"/>
        <v>2120686.2187375994</v>
      </c>
      <c r="G10" s="316">
        <f t="shared" si="1"/>
        <v>6362058.6562127993</v>
      </c>
    </row>
    <row r="11" spans="1:7" x14ac:dyDescent="0.25">
      <c r="C11" s="336">
        <f t="shared" si="2"/>
        <v>6</v>
      </c>
      <c r="D11" s="314">
        <f>RightOfUse!$D$21</f>
        <v>16965489.749900796</v>
      </c>
      <c r="E11" s="289">
        <f t="shared" si="3"/>
        <v>12724117.312425595</v>
      </c>
      <c r="F11" s="289">
        <f t="shared" si="0"/>
        <v>2120686.2187375994</v>
      </c>
      <c r="G11" s="316">
        <f t="shared" si="1"/>
        <v>4241372.4374752007</v>
      </c>
    </row>
    <row r="12" spans="1:7" x14ac:dyDescent="0.25">
      <c r="C12" s="336">
        <f t="shared" si="2"/>
        <v>7</v>
      </c>
      <c r="D12" s="314">
        <f>RightOfUse!$D$21</f>
        <v>16965489.749900796</v>
      </c>
      <c r="E12" s="289">
        <f t="shared" si="3"/>
        <v>14844803.531163193</v>
      </c>
      <c r="F12" s="289">
        <f t="shared" si="0"/>
        <v>2120686.2187375994</v>
      </c>
      <c r="G12" s="316">
        <f t="shared" si="1"/>
        <v>2120686.2187376022</v>
      </c>
    </row>
    <row r="13" spans="1:7" x14ac:dyDescent="0.25">
      <c r="C13" s="337">
        <f t="shared" si="2"/>
        <v>8</v>
      </c>
      <c r="D13" s="322">
        <f>RightOfUse!$D$21</f>
        <v>16965489.749900796</v>
      </c>
      <c r="E13" s="320">
        <f t="shared" si="3"/>
        <v>16965489.749900792</v>
      </c>
      <c r="F13" s="320">
        <f t="shared" si="0"/>
        <v>2120686.2187375994</v>
      </c>
      <c r="G13" s="323">
        <f t="shared" si="1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5E3B8-0FFA-47C4-9E41-7B04ACE1253F}">
  <sheetPr>
    <tabColor rgb="FF92D050"/>
  </sheetPr>
  <dimension ref="A1:J12"/>
  <sheetViews>
    <sheetView showGridLines="0" zoomScale="175" zoomScaleNormal="175" workbookViewId="0">
      <selection activeCell="H12" sqref="E3:H12"/>
    </sheetView>
  </sheetViews>
  <sheetFormatPr defaultRowHeight="15.75" x14ac:dyDescent="0.25"/>
  <cols>
    <col min="1" max="4" width="9.140625" style="287"/>
    <col min="5" max="5" width="9.28515625" style="287" bestFit="1" customWidth="1"/>
    <col min="6" max="6" width="11.5703125" style="287" bestFit="1" customWidth="1"/>
    <col min="7" max="7" width="14.28515625" style="287" bestFit="1" customWidth="1"/>
    <col min="8" max="8" width="12.7109375" style="287" bestFit="1" customWidth="1"/>
    <col min="9" max="9" width="9.140625" style="287"/>
    <col min="10" max="10" width="10.140625" style="287" bestFit="1" customWidth="1"/>
    <col min="11" max="16384" width="9.140625" style="287"/>
  </cols>
  <sheetData>
    <row r="1" spans="1:10" x14ac:dyDescent="0.25">
      <c r="A1" s="287" t="s">
        <v>178</v>
      </c>
    </row>
    <row r="2" spans="1:10" x14ac:dyDescent="0.25">
      <c r="E2" s="286"/>
      <c r="F2" s="286"/>
      <c r="G2" s="286"/>
      <c r="H2" s="286"/>
    </row>
    <row r="3" spans="1:10" x14ac:dyDescent="0.25">
      <c r="E3" s="303" t="s">
        <v>174</v>
      </c>
      <c r="F3" s="338" t="s">
        <v>179</v>
      </c>
      <c r="G3" s="338" t="s">
        <v>180</v>
      </c>
      <c r="H3" s="339" t="s">
        <v>6</v>
      </c>
    </row>
    <row r="4" spans="1:10" x14ac:dyDescent="0.25">
      <c r="E4" s="335">
        <v>1</v>
      </c>
      <c r="F4" s="342">
        <f>SP!E6</f>
        <v>538619.58999603183</v>
      </c>
      <c r="G4" s="342">
        <f>Amm!F6</f>
        <v>2120686.2187375994</v>
      </c>
      <c r="H4" s="324">
        <f>F4+G4</f>
        <v>2659305.8087336314</v>
      </c>
      <c r="J4" s="289"/>
    </row>
    <row r="5" spans="1:10" x14ac:dyDescent="0.25">
      <c r="E5" s="336">
        <f>E4+1</f>
        <v>2</v>
      </c>
      <c r="F5" s="340">
        <f>SP!E7</f>
        <v>480164.37359587313</v>
      </c>
      <c r="G5" s="340">
        <f>Amm!F7</f>
        <v>2120686.2187375994</v>
      </c>
      <c r="H5" s="316">
        <f t="shared" ref="H5:H11" si="0">F5+G5</f>
        <v>2600850.5923334723</v>
      </c>
      <c r="J5" s="289"/>
    </row>
    <row r="6" spans="1:10" x14ac:dyDescent="0.25">
      <c r="E6" s="336">
        <f t="shared" ref="E6:E11" si="1">E5+1</f>
        <v>3</v>
      </c>
      <c r="F6" s="340">
        <f>SP!E8</f>
        <v>419370.94853970804</v>
      </c>
      <c r="G6" s="340">
        <f>Amm!F8</f>
        <v>2120686.2187375994</v>
      </c>
      <c r="H6" s="316">
        <f t="shared" si="0"/>
        <v>2540057.1672773072</v>
      </c>
      <c r="J6" s="289"/>
    </row>
    <row r="7" spans="1:10" x14ac:dyDescent="0.25">
      <c r="E7" s="336">
        <f t="shared" si="1"/>
        <v>4</v>
      </c>
      <c r="F7" s="340">
        <f>SP!E9</f>
        <v>356145.78648129635</v>
      </c>
      <c r="G7" s="340">
        <f>Amm!F9</f>
        <v>2120686.2187375994</v>
      </c>
      <c r="H7" s="316">
        <f t="shared" si="0"/>
        <v>2476832.0052188956</v>
      </c>
      <c r="J7" s="289"/>
    </row>
    <row r="8" spans="1:10" x14ac:dyDescent="0.25">
      <c r="E8" s="336">
        <f t="shared" si="1"/>
        <v>5</v>
      </c>
      <c r="F8" s="340">
        <f>SP!E10</f>
        <v>290391.61794054823</v>
      </c>
      <c r="G8" s="340">
        <f>Amm!F10</f>
        <v>2120686.2187375994</v>
      </c>
      <c r="H8" s="316">
        <f t="shared" si="0"/>
        <v>2411077.8366781478</v>
      </c>
      <c r="J8" s="289"/>
    </row>
    <row r="9" spans="1:10" x14ac:dyDescent="0.25">
      <c r="E9" s="336">
        <f t="shared" si="1"/>
        <v>6</v>
      </c>
      <c r="F9" s="340">
        <f>SP!E11</f>
        <v>222007.28265817018</v>
      </c>
      <c r="G9" s="340">
        <f>Amm!F11</f>
        <v>2120686.2187375994</v>
      </c>
      <c r="H9" s="316">
        <f t="shared" si="0"/>
        <v>2342693.5013957694</v>
      </c>
      <c r="J9" s="289"/>
    </row>
    <row r="10" spans="1:10" x14ac:dyDescent="0.25">
      <c r="E10" s="336">
        <f t="shared" si="1"/>
        <v>7</v>
      </c>
      <c r="F10" s="340">
        <f>SP!E12</f>
        <v>150887.57396449696</v>
      </c>
      <c r="G10" s="340">
        <f>Amm!F12</f>
        <v>2120686.2187375994</v>
      </c>
      <c r="H10" s="316">
        <f t="shared" si="0"/>
        <v>2271573.7927020965</v>
      </c>
      <c r="J10" s="289"/>
    </row>
    <row r="11" spans="1:10" x14ac:dyDescent="0.25">
      <c r="E11" s="337">
        <f t="shared" si="1"/>
        <v>8</v>
      </c>
      <c r="F11" s="343">
        <f>SP!E13</f>
        <v>76923.076923076849</v>
      </c>
      <c r="G11" s="343">
        <f>Amm!F13</f>
        <v>2120686.2187375994</v>
      </c>
      <c r="H11" s="323">
        <f t="shared" si="0"/>
        <v>2197609.2956606764</v>
      </c>
      <c r="J11" s="289"/>
    </row>
    <row r="12" spans="1:10" x14ac:dyDescent="0.25">
      <c r="E12" s="341" t="s">
        <v>6</v>
      </c>
      <c r="F12" s="301">
        <f>SUM(F4:F11)</f>
        <v>2534510.2500992017</v>
      </c>
      <c r="G12" s="301">
        <f>SUM(G4:G11)</f>
        <v>16965489.749900792</v>
      </c>
      <c r="H12" s="302">
        <f>SUM(H4:H11)</f>
        <v>19500000</v>
      </c>
      <c r="J12" s="28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7">
    <tabColor rgb="FF92D050"/>
  </sheetPr>
  <dimension ref="B1:D37"/>
  <sheetViews>
    <sheetView showGridLines="0" workbookViewId="0">
      <selection activeCell="B2" sqref="B2:D24"/>
    </sheetView>
  </sheetViews>
  <sheetFormatPr defaultColWidth="8.85546875" defaultRowHeight="15" x14ac:dyDescent="0.25"/>
  <cols>
    <col min="1" max="1" width="8.85546875" style="3"/>
    <col min="2" max="2" width="41.42578125" style="4" bestFit="1" customWidth="1"/>
    <col min="3" max="3" width="12.42578125" style="22" bestFit="1" customWidth="1"/>
    <col min="4" max="4" width="12.28515625" style="4" bestFit="1" customWidth="1"/>
    <col min="5" max="5" width="9" style="3" bestFit="1" customWidth="1"/>
    <col min="6" max="16384" width="8.85546875" style="3"/>
  </cols>
  <sheetData>
    <row r="1" spans="2:4" ht="15.75" thickBot="1" x14ac:dyDescent="0.3">
      <c r="B1" s="127"/>
      <c r="C1" s="128"/>
      <c r="D1" s="127"/>
    </row>
    <row r="2" spans="2:4" ht="15.75" thickTop="1" x14ac:dyDescent="0.25">
      <c r="B2" s="4" t="s">
        <v>55</v>
      </c>
      <c r="C2" s="41">
        <v>0.2</v>
      </c>
      <c r="D2" s="4" t="s">
        <v>3</v>
      </c>
    </row>
    <row r="3" spans="2:4" x14ac:dyDescent="0.25">
      <c r="B3" s="4" t="s">
        <v>23</v>
      </c>
      <c r="C3" s="129">
        <v>15</v>
      </c>
      <c r="D3" s="4" t="s">
        <v>4</v>
      </c>
    </row>
    <row r="4" spans="2:4" ht="3" customHeight="1" x14ac:dyDescent="0.25">
      <c r="C4" s="17"/>
    </row>
    <row r="5" spans="2:4" x14ac:dyDescent="0.25">
      <c r="B5" s="4" t="s">
        <v>20</v>
      </c>
      <c r="C5" s="18">
        <v>1000000</v>
      </c>
      <c r="D5" s="4" t="s">
        <v>5</v>
      </c>
    </row>
    <row r="6" spans="2:4" x14ac:dyDescent="0.25">
      <c r="B6" s="4" t="s">
        <v>2</v>
      </c>
      <c r="C6" s="18">
        <v>150000</v>
      </c>
      <c r="D6" s="4" t="s">
        <v>30</v>
      </c>
    </row>
    <row r="7" spans="2:4" x14ac:dyDescent="0.25">
      <c r="B7" s="4" t="s">
        <v>59</v>
      </c>
      <c r="C7" s="18">
        <v>105000</v>
      </c>
      <c r="D7" s="4" t="s">
        <v>31</v>
      </c>
    </row>
    <row r="8" spans="2:4" x14ac:dyDescent="0.25">
      <c r="B8" s="4" t="s">
        <v>21</v>
      </c>
      <c r="C8" s="18">
        <v>8500</v>
      </c>
      <c r="D8" s="4" t="s">
        <v>36</v>
      </c>
    </row>
    <row r="9" spans="2:4" x14ac:dyDescent="0.25">
      <c r="B9" s="23" t="s">
        <v>22</v>
      </c>
      <c r="C9" s="130">
        <f>C3*12-1</f>
        <v>179</v>
      </c>
      <c r="D9" s="23" t="s">
        <v>37</v>
      </c>
    </row>
    <row r="10" spans="2:4" x14ac:dyDescent="0.25">
      <c r="B10" s="30" t="s">
        <v>28</v>
      </c>
      <c r="C10" s="31">
        <f>C7+C8*C9</f>
        <v>1626500</v>
      </c>
      <c r="D10" s="32" t="s">
        <v>45</v>
      </c>
    </row>
    <row r="11" spans="2:4" x14ac:dyDescent="0.25">
      <c r="B11" s="4" t="s">
        <v>24</v>
      </c>
      <c r="C11" s="17">
        <f>C5-C6</f>
        <v>850000</v>
      </c>
      <c r="D11" s="4" t="s">
        <v>46</v>
      </c>
    </row>
    <row r="12" spans="2:4" s="16" customFormat="1" x14ac:dyDescent="0.25">
      <c r="B12" s="28" t="s">
        <v>44</v>
      </c>
      <c r="C12" s="19">
        <f>C11*C2</f>
        <v>170000</v>
      </c>
      <c r="D12" s="29" t="s">
        <v>56</v>
      </c>
    </row>
    <row r="13" spans="2:4" s="16" customFormat="1" x14ac:dyDescent="0.25">
      <c r="B13" s="28" t="s">
        <v>43</v>
      </c>
      <c r="C13" s="19">
        <f>C11-C12</f>
        <v>680000</v>
      </c>
      <c r="D13" s="29" t="s">
        <v>47</v>
      </c>
    </row>
    <row r="14" spans="2:4" x14ac:dyDescent="0.25">
      <c r="B14" s="4" t="s">
        <v>25</v>
      </c>
      <c r="C14" s="17">
        <f>C10-C11</f>
        <v>776500</v>
      </c>
      <c r="D14" s="4" t="s">
        <v>48</v>
      </c>
    </row>
    <row r="15" spans="2:4" ht="3" customHeight="1" x14ac:dyDescent="0.25">
      <c r="C15" s="17"/>
    </row>
    <row r="16" spans="2:4" x14ac:dyDescent="0.25">
      <c r="B16" s="30" t="s">
        <v>29</v>
      </c>
      <c r="C16" s="31">
        <f>C11*(1/C3)</f>
        <v>56666.666666666664</v>
      </c>
      <c r="D16" s="32" t="s">
        <v>49</v>
      </c>
    </row>
    <row r="17" spans="2:4" x14ac:dyDescent="0.25">
      <c r="B17" s="4" t="s">
        <v>26</v>
      </c>
      <c r="C17" s="17">
        <f>C16*C2</f>
        <v>11333.333333333334</v>
      </c>
      <c r="D17" s="4" t="s">
        <v>50</v>
      </c>
    </row>
    <row r="18" spans="2:4" x14ac:dyDescent="0.25">
      <c r="B18" s="27" t="s">
        <v>27</v>
      </c>
      <c r="C18" s="21">
        <f>C16-C17</f>
        <v>45333.333333333328</v>
      </c>
      <c r="D18" s="27" t="s">
        <v>51</v>
      </c>
    </row>
    <row r="19" spans="2:4" x14ac:dyDescent="0.25">
      <c r="B19" s="4" t="s">
        <v>40</v>
      </c>
      <c r="C19" s="17">
        <f>C11*(1-C2)</f>
        <v>680000</v>
      </c>
      <c r="D19" s="4" t="s">
        <v>52</v>
      </c>
    </row>
    <row r="20" spans="2:4" x14ac:dyDescent="0.25">
      <c r="B20" s="4" t="s">
        <v>41</v>
      </c>
      <c r="C20" s="17">
        <f>C19+C14</f>
        <v>1456500</v>
      </c>
      <c r="D20" s="4" t="s">
        <v>38</v>
      </c>
    </row>
    <row r="21" spans="2:4" ht="3" customHeight="1" x14ac:dyDescent="0.25">
      <c r="C21" s="17"/>
    </row>
    <row r="22" spans="2:4" x14ac:dyDescent="0.25">
      <c r="B22" s="27" t="s">
        <v>34</v>
      </c>
      <c r="C22" s="21">
        <f>C20/(1+C9)</f>
        <v>8091.666666666667</v>
      </c>
      <c r="D22" s="25" t="s">
        <v>57</v>
      </c>
    </row>
    <row r="23" spans="2:4" x14ac:dyDescent="0.25">
      <c r="B23" s="24" t="s">
        <v>39</v>
      </c>
      <c r="C23" s="20">
        <f>C13/(1+C9)</f>
        <v>3777.7777777777778</v>
      </c>
      <c r="D23" s="26" t="s">
        <v>58</v>
      </c>
    </row>
    <row r="24" spans="2:4" x14ac:dyDescent="0.25">
      <c r="B24" s="33" t="s">
        <v>42</v>
      </c>
      <c r="C24" s="131">
        <f>C6+C12</f>
        <v>320000</v>
      </c>
      <c r="D24" s="34" t="s">
        <v>53</v>
      </c>
    </row>
    <row r="27" spans="2:4" x14ac:dyDescent="0.25">
      <c r="C27" s="5"/>
    </row>
    <row r="28" spans="2:4" x14ac:dyDescent="0.25">
      <c r="C28" s="5"/>
    </row>
    <row r="29" spans="2:4" x14ac:dyDescent="0.25">
      <c r="C29" s="5"/>
    </row>
    <row r="30" spans="2:4" x14ac:dyDescent="0.25">
      <c r="C30" s="5"/>
    </row>
    <row r="31" spans="2:4" x14ac:dyDescent="0.25">
      <c r="C31" s="5"/>
    </row>
    <row r="32" spans="2:4" x14ac:dyDescent="0.25">
      <c r="C32" s="5"/>
    </row>
    <row r="33" spans="3:3" x14ac:dyDescent="0.25">
      <c r="C33" s="5"/>
    </row>
    <row r="34" spans="3:3" x14ac:dyDescent="0.25">
      <c r="C34" s="5"/>
    </row>
    <row r="35" spans="3:3" x14ac:dyDescent="0.25">
      <c r="C35" s="5"/>
    </row>
    <row r="36" spans="3:3" x14ac:dyDescent="0.25">
      <c r="C36" s="5"/>
    </row>
    <row r="37" spans="3:3" x14ac:dyDescent="0.25">
      <c r="C37" s="5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6">
    <tabColor rgb="FF00B050"/>
  </sheetPr>
  <dimension ref="B2:E7"/>
  <sheetViews>
    <sheetView showGridLines="0" workbookViewId="0">
      <selection activeCell="B2" sqref="B2:D24"/>
    </sheetView>
  </sheetViews>
  <sheetFormatPr defaultColWidth="24.28515625" defaultRowHeight="15" x14ac:dyDescent="0.25"/>
  <cols>
    <col min="1" max="1" width="8.85546875" style="2" customWidth="1"/>
    <col min="2" max="2" width="39.7109375" style="38" bestFit="1" customWidth="1"/>
    <col min="3" max="3" width="14.5703125" style="35" bestFit="1" customWidth="1"/>
    <col min="4" max="4" width="26.5703125" style="35" bestFit="1" customWidth="1"/>
    <col min="5" max="5" width="28.5703125" style="35" bestFit="1" customWidth="1"/>
    <col min="6" max="16384" width="24.28515625" style="2"/>
  </cols>
  <sheetData>
    <row r="2" spans="2:5" ht="15.75" thickBot="1" x14ac:dyDescent="0.3">
      <c r="B2" s="39" t="s">
        <v>19</v>
      </c>
      <c r="C2" s="40" t="s">
        <v>18</v>
      </c>
      <c r="D2" s="40" t="s">
        <v>17</v>
      </c>
      <c r="E2" s="40" t="s">
        <v>16</v>
      </c>
    </row>
    <row r="3" spans="2:5" ht="15.75" thickTop="1" x14ac:dyDescent="0.25">
      <c r="B3" s="15" t="s">
        <v>15</v>
      </c>
      <c r="C3" s="35" t="s">
        <v>9</v>
      </c>
      <c r="D3" s="36">
        <v>200</v>
      </c>
      <c r="E3" s="37">
        <v>0.04</v>
      </c>
    </row>
    <row r="4" spans="2:5" x14ac:dyDescent="0.25">
      <c r="B4" s="15" t="s">
        <v>14</v>
      </c>
      <c r="C4" s="35" t="s">
        <v>13</v>
      </c>
      <c r="D4" s="36">
        <v>200</v>
      </c>
      <c r="E4" s="37">
        <v>0.04</v>
      </c>
    </row>
    <row r="5" spans="2:5" x14ac:dyDescent="0.25">
      <c r="B5" s="15" t="s">
        <v>12</v>
      </c>
      <c r="C5" s="35" t="s">
        <v>11</v>
      </c>
      <c r="D5" s="37">
        <v>0.09</v>
      </c>
      <c r="E5" s="37" t="s">
        <v>169</v>
      </c>
    </row>
    <row r="6" spans="2:5" ht="30" x14ac:dyDescent="0.25">
      <c r="B6" s="15" t="s">
        <v>10</v>
      </c>
      <c r="C6" s="35" t="s">
        <v>9</v>
      </c>
      <c r="D6" s="36">
        <v>200</v>
      </c>
      <c r="E6" s="35" t="s">
        <v>168</v>
      </c>
    </row>
    <row r="7" spans="2:5" ht="30" x14ac:dyDescent="0.25">
      <c r="B7" s="15" t="s">
        <v>8</v>
      </c>
      <c r="C7" s="35" t="s">
        <v>7</v>
      </c>
      <c r="D7" s="37">
        <v>0.09</v>
      </c>
      <c r="E7" s="37" t="s">
        <v>169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B1:T12"/>
  <sheetViews>
    <sheetView showGridLines="0" zoomScale="90" zoomScaleNormal="90" workbookViewId="0">
      <selection activeCell="N27" sqref="N27"/>
    </sheetView>
  </sheetViews>
  <sheetFormatPr defaultRowHeight="15" x14ac:dyDescent="0.25"/>
  <cols>
    <col min="1" max="1" width="9.140625" style="116"/>
    <col min="2" max="2" width="11.5703125" style="116" bestFit="1" customWidth="1"/>
    <col min="3" max="3" width="3.5703125" style="116" bestFit="1" customWidth="1"/>
    <col min="4" max="19" width="9.140625" style="116"/>
    <col min="20" max="20" width="9" style="116" bestFit="1" customWidth="1"/>
    <col min="21" max="257" width="9.140625" style="116"/>
    <col min="258" max="258" width="11.5703125" style="116" bestFit="1" customWidth="1"/>
    <col min="259" max="259" width="3.5703125" style="116" bestFit="1" customWidth="1"/>
    <col min="260" max="275" width="9.140625" style="116"/>
    <col min="276" max="276" width="9" style="116" bestFit="1" customWidth="1"/>
    <col min="277" max="513" width="9.140625" style="116"/>
    <col min="514" max="514" width="11.5703125" style="116" bestFit="1" customWidth="1"/>
    <col min="515" max="515" width="3.5703125" style="116" bestFit="1" customWidth="1"/>
    <col min="516" max="531" width="9.140625" style="116"/>
    <col min="532" max="532" width="9" style="116" bestFit="1" customWidth="1"/>
    <col min="533" max="769" width="9.140625" style="116"/>
    <col min="770" max="770" width="11.5703125" style="116" bestFit="1" customWidth="1"/>
    <col min="771" max="771" width="3.5703125" style="116" bestFit="1" customWidth="1"/>
    <col min="772" max="787" width="9.140625" style="116"/>
    <col min="788" max="788" width="9" style="116" bestFit="1" customWidth="1"/>
    <col min="789" max="1025" width="9.140625" style="116"/>
    <col min="1026" max="1026" width="11.5703125" style="116" bestFit="1" customWidth="1"/>
    <col min="1027" max="1027" width="3.5703125" style="116" bestFit="1" customWidth="1"/>
    <col min="1028" max="1043" width="9.140625" style="116"/>
    <col min="1044" max="1044" width="9" style="116" bestFit="1" customWidth="1"/>
    <col min="1045" max="1281" width="9.140625" style="116"/>
    <col min="1282" max="1282" width="11.5703125" style="116" bestFit="1" customWidth="1"/>
    <col min="1283" max="1283" width="3.5703125" style="116" bestFit="1" customWidth="1"/>
    <col min="1284" max="1299" width="9.140625" style="116"/>
    <col min="1300" max="1300" width="9" style="116" bestFit="1" customWidth="1"/>
    <col min="1301" max="1537" width="9.140625" style="116"/>
    <col min="1538" max="1538" width="11.5703125" style="116" bestFit="1" customWidth="1"/>
    <col min="1539" max="1539" width="3.5703125" style="116" bestFit="1" customWidth="1"/>
    <col min="1540" max="1555" width="9.140625" style="116"/>
    <col min="1556" max="1556" width="9" style="116" bestFit="1" customWidth="1"/>
    <col min="1557" max="1793" width="9.140625" style="116"/>
    <col min="1794" max="1794" width="11.5703125" style="116" bestFit="1" customWidth="1"/>
    <col min="1795" max="1795" width="3.5703125" style="116" bestFit="1" customWidth="1"/>
    <col min="1796" max="1811" width="9.140625" style="116"/>
    <col min="1812" max="1812" width="9" style="116" bestFit="1" customWidth="1"/>
    <col min="1813" max="2049" width="9.140625" style="116"/>
    <col min="2050" max="2050" width="11.5703125" style="116" bestFit="1" customWidth="1"/>
    <col min="2051" max="2051" width="3.5703125" style="116" bestFit="1" customWidth="1"/>
    <col min="2052" max="2067" width="9.140625" style="116"/>
    <col min="2068" max="2068" width="9" style="116" bestFit="1" customWidth="1"/>
    <col min="2069" max="2305" width="9.140625" style="116"/>
    <col min="2306" max="2306" width="11.5703125" style="116" bestFit="1" customWidth="1"/>
    <col min="2307" max="2307" width="3.5703125" style="116" bestFit="1" customWidth="1"/>
    <col min="2308" max="2323" width="9.140625" style="116"/>
    <col min="2324" max="2324" width="9" style="116" bestFit="1" customWidth="1"/>
    <col min="2325" max="2561" width="9.140625" style="116"/>
    <col min="2562" max="2562" width="11.5703125" style="116" bestFit="1" customWidth="1"/>
    <col min="2563" max="2563" width="3.5703125" style="116" bestFit="1" customWidth="1"/>
    <col min="2564" max="2579" width="9.140625" style="116"/>
    <col min="2580" max="2580" width="9" style="116" bestFit="1" customWidth="1"/>
    <col min="2581" max="2817" width="9.140625" style="116"/>
    <col min="2818" max="2818" width="11.5703125" style="116" bestFit="1" customWidth="1"/>
    <col min="2819" max="2819" width="3.5703125" style="116" bestFit="1" customWidth="1"/>
    <col min="2820" max="2835" width="9.140625" style="116"/>
    <col min="2836" max="2836" width="9" style="116" bestFit="1" customWidth="1"/>
    <col min="2837" max="3073" width="9.140625" style="116"/>
    <col min="3074" max="3074" width="11.5703125" style="116" bestFit="1" customWidth="1"/>
    <col min="3075" max="3075" width="3.5703125" style="116" bestFit="1" customWidth="1"/>
    <col min="3076" max="3091" width="9.140625" style="116"/>
    <col min="3092" max="3092" width="9" style="116" bestFit="1" customWidth="1"/>
    <col min="3093" max="3329" width="9.140625" style="116"/>
    <col min="3330" max="3330" width="11.5703125" style="116" bestFit="1" customWidth="1"/>
    <col min="3331" max="3331" width="3.5703125" style="116" bestFit="1" customWidth="1"/>
    <col min="3332" max="3347" width="9.140625" style="116"/>
    <col min="3348" max="3348" width="9" style="116" bestFit="1" customWidth="1"/>
    <col min="3349" max="3585" width="9.140625" style="116"/>
    <col min="3586" max="3586" width="11.5703125" style="116" bestFit="1" customWidth="1"/>
    <col min="3587" max="3587" width="3.5703125" style="116" bestFit="1" customWidth="1"/>
    <col min="3588" max="3603" width="9.140625" style="116"/>
    <col min="3604" max="3604" width="9" style="116" bestFit="1" customWidth="1"/>
    <col min="3605" max="3841" width="9.140625" style="116"/>
    <col min="3842" max="3842" width="11.5703125" style="116" bestFit="1" customWidth="1"/>
    <col min="3843" max="3843" width="3.5703125" style="116" bestFit="1" customWidth="1"/>
    <col min="3844" max="3859" width="9.140625" style="116"/>
    <col min="3860" max="3860" width="9" style="116" bestFit="1" customWidth="1"/>
    <col min="3861" max="4097" width="9.140625" style="116"/>
    <col min="4098" max="4098" width="11.5703125" style="116" bestFit="1" customWidth="1"/>
    <col min="4099" max="4099" width="3.5703125" style="116" bestFit="1" customWidth="1"/>
    <col min="4100" max="4115" width="9.140625" style="116"/>
    <col min="4116" max="4116" width="9" style="116" bestFit="1" customWidth="1"/>
    <col min="4117" max="4353" width="9.140625" style="116"/>
    <col min="4354" max="4354" width="11.5703125" style="116" bestFit="1" customWidth="1"/>
    <col min="4355" max="4355" width="3.5703125" style="116" bestFit="1" customWidth="1"/>
    <col min="4356" max="4371" width="9.140625" style="116"/>
    <col min="4372" max="4372" width="9" style="116" bestFit="1" customWidth="1"/>
    <col min="4373" max="4609" width="9.140625" style="116"/>
    <col min="4610" max="4610" width="11.5703125" style="116" bestFit="1" customWidth="1"/>
    <col min="4611" max="4611" width="3.5703125" style="116" bestFit="1" customWidth="1"/>
    <col min="4612" max="4627" width="9.140625" style="116"/>
    <col min="4628" max="4628" width="9" style="116" bestFit="1" customWidth="1"/>
    <col min="4629" max="4865" width="9.140625" style="116"/>
    <col min="4866" max="4866" width="11.5703125" style="116" bestFit="1" customWidth="1"/>
    <col min="4867" max="4867" width="3.5703125" style="116" bestFit="1" customWidth="1"/>
    <col min="4868" max="4883" width="9.140625" style="116"/>
    <col min="4884" max="4884" width="9" style="116" bestFit="1" customWidth="1"/>
    <col min="4885" max="5121" width="9.140625" style="116"/>
    <col min="5122" max="5122" width="11.5703125" style="116" bestFit="1" customWidth="1"/>
    <col min="5123" max="5123" width="3.5703125" style="116" bestFit="1" customWidth="1"/>
    <col min="5124" max="5139" width="9.140625" style="116"/>
    <col min="5140" max="5140" width="9" style="116" bestFit="1" customWidth="1"/>
    <col min="5141" max="5377" width="9.140625" style="116"/>
    <col min="5378" max="5378" width="11.5703125" style="116" bestFit="1" customWidth="1"/>
    <col min="5379" max="5379" width="3.5703125" style="116" bestFit="1" customWidth="1"/>
    <col min="5380" max="5395" width="9.140625" style="116"/>
    <col min="5396" max="5396" width="9" style="116" bestFit="1" customWidth="1"/>
    <col min="5397" max="5633" width="9.140625" style="116"/>
    <col min="5634" max="5634" width="11.5703125" style="116" bestFit="1" customWidth="1"/>
    <col min="5635" max="5635" width="3.5703125" style="116" bestFit="1" customWidth="1"/>
    <col min="5636" max="5651" width="9.140625" style="116"/>
    <col min="5652" max="5652" width="9" style="116" bestFit="1" customWidth="1"/>
    <col min="5653" max="5889" width="9.140625" style="116"/>
    <col min="5890" max="5890" width="11.5703125" style="116" bestFit="1" customWidth="1"/>
    <col min="5891" max="5891" width="3.5703125" style="116" bestFit="1" customWidth="1"/>
    <col min="5892" max="5907" width="9.140625" style="116"/>
    <col min="5908" max="5908" width="9" style="116" bestFit="1" customWidth="1"/>
    <col min="5909" max="6145" width="9.140625" style="116"/>
    <col min="6146" max="6146" width="11.5703125" style="116" bestFit="1" customWidth="1"/>
    <col min="6147" max="6147" width="3.5703125" style="116" bestFit="1" customWidth="1"/>
    <col min="6148" max="6163" width="9.140625" style="116"/>
    <col min="6164" max="6164" width="9" style="116" bestFit="1" customWidth="1"/>
    <col min="6165" max="6401" width="9.140625" style="116"/>
    <col min="6402" max="6402" width="11.5703125" style="116" bestFit="1" customWidth="1"/>
    <col min="6403" max="6403" width="3.5703125" style="116" bestFit="1" customWidth="1"/>
    <col min="6404" max="6419" width="9.140625" style="116"/>
    <col min="6420" max="6420" width="9" style="116" bestFit="1" customWidth="1"/>
    <col min="6421" max="6657" width="9.140625" style="116"/>
    <col min="6658" max="6658" width="11.5703125" style="116" bestFit="1" customWidth="1"/>
    <col min="6659" max="6659" width="3.5703125" style="116" bestFit="1" customWidth="1"/>
    <col min="6660" max="6675" width="9.140625" style="116"/>
    <col min="6676" max="6676" width="9" style="116" bestFit="1" customWidth="1"/>
    <col min="6677" max="6913" width="9.140625" style="116"/>
    <col min="6914" max="6914" width="11.5703125" style="116" bestFit="1" customWidth="1"/>
    <col min="6915" max="6915" width="3.5703125" style="116" bestFit="1" customWidth="1"/>
    <col min="6916" max="6931" width="9.140625" style="116"/>
    <col min="6932" max="6932" width="9" style="116" bestFit="1" customWidth="1"/>
    <col min="6933" max="7169" width="9.140625" style="116"/>
    <col min="7170" max="7170" width="11.5703125" style="116" bestFit="1" customWidth="1"/>
    <col min="7171" max="7171" width="3.5703125" style="116" bestFit="1" customWidth="1"/>
    <col min="7172" max="7187" width="9.140625" style="116"/>
    <col min="7188" max="7188" width="9" style="116" bestFit="1" customWidth="1"/>
    <col min="7189" max="7425" width="9.140625" style="116"/>
    <col min="7426" max="7426" width="11.5703125" style="116" bestFit="1" customWidth="1"/>
    <col min="7427" max="7427" width="3.5703125" style="116" bestFit="1" customWidth="1"/>
    <col min="7428" max="7443" width="9.140625" style="116"/>
    <col min="7444" max="7444" width="9" style="116" bestFit="1" customWidth="1"/>
    <col min="7445" max="7681" width="9.140625" style="116"/>
    <col min="7682" max="7682" width="11.5703125" style="116" bestFit="1" customWidth="1"/>
    <col min="7683" max="7683" width="3.5703125" style="116" bestFit="1" customWidth="1"/>
    <col min="7684" max="7699" width="9.140625" style="116"/>
    <col min="7700" max="7700" width="9" style="116" bestFit="1" customWidth="1"/>
    <col min="7701" max="7937" width="9.140625" style="116"/>
    <col min="7938" max="7938" width="11.5703125" style="116" bestFit="1" customWidth="1"/>
    <col min="7939" max="7939" width="3.5703125" style="116" bestFit="1" customWidth="1"/>
    <col min="7940" max="7955" width="9.140625" style="116"/>
    <col min="7956" max="7956" width="9" style="116" bestFit="1" customWidth="1"/>
    <col min="7957" max="8193" width="9.140625" style="116"/>
    <col min="8194" max="8194" width="11.5703125" style="116" bestFit="1" customWidth="1"/>
    <col min="8195" max="8195" width="3.5703125" style="116" bestFit="1" customWidth="1"/>
    <col min="8196" max="8211" width="9.140625" style="116"/>
    <col min="8212" max="8212" width="9" style="116" bestFit="1" customWidth="1"/>
    <col min="8213" max="8449" width="9.140625" style="116"/>
    <col min="8450" max="8450" width="11.5703125" style="116" bestFit="1" customWidth="1"/>
    <col min="8451" max="8451" width="3.5703125" style="116" bestFit="1" customWidth="1"/>
    <col min="8452" max="8467" width="9.140625" style="116"/>
    <col min="8468" max="8468" width="9" style="116" bestFit="1" customWidth="1"/>
    <col min="8469" max="8705" width="9.140625" style="116"/>
    <col min="8706" max="8706" width="11.5703125" style="116" bestFit="1" customWidth="1"/>
    <col min="8707" max="8707" width="3.5703125" style="116" bestFit="1" customWidth="1"/>
    <col min="8708" max="8723" width="9.140625" style="116"/>
    <col min="8724" max="8724" width="9" style="116" bestFit="1" customWidth="1"/>
    <col min="8725" max="8961" width="9.140625" style="116"/>
    <col min="8962" max="8962" width="11.5703125" style="116" bestFit="1" customWidth="1"/>
    <col min="8963" max="8963" width="3.5703125" style="116" bestFit="1" customWidth="1"/>
    <col min="8964" max="8979" width="9.140625" style="116"/>
    <col min="8980" max="8980" width="9" style="116" bestFit="1" customWidth="1"/>
    <col min="8981" max="9217" width="9.140625" style="116"/>
    <col min="9218" max="9218" width="11.5703125" style="116" bestFit="1" customWidth="1"/>
    <col min="9219" max="9219" width="3.5703125" style="116" bestFit="1" customWidth="1"/>
    <col min="9220" max="9235" width="9.140625" style="116"/>
    <col min="9236" max="9236" width="9" style="116" bestFit="1" customWidth="1"/>
    <col min="9237" max="9473" width="9.140625" style="116"/>
    <col min="9474" max="9474" width="11.5703125" style="116" bestFit="1" customWidth="1"/>
    <col min="9475" max="9475" width="3.5703125" style="116" bestFit="1" customWidth="1"/>
    <col min="9476" max="9491" width="9.140625" style="116"/>
    <col min="9492" max="9492" width="9" style="116" bestFit="1" customWidth="1"/>
    <col min="9493" max="9729" width="9.140625" style="116"/>
    <col min="9730" max="9730" width="11.5703125" style="116" bestFit="1" customWidth="1"/>
    <col min="9731" max="9731" width="3.5703125" style="116" bestFit="1" customWidth="1"/>
    <col min="9732" max="9747" width="9.140625" style="116"/>
    <col min="9748" max="9748" width="9" style="116" bestFit="1" customWidth="1"/>
    <col min="9749" max="9985" width="9.140625" style="116"/>
    <col min="9986" max="9986" width="11.5703125" style="116" bestFit="1" customWidth="1"/>
    <col min="9987" max="9987" width="3.5703125" style="116" bestFit="1" customWidth="1"/>
    <col min="9988" max="10003" width="9.140625" style="116"/>
    <col min="10004" max="10004" width="9" style="116" bestFit="1" customWidth="1"/>
    <col min="10005" max="10241" width="9.140625" style="116"/>
    <col min="10242" max="10242" width="11.5703125" style="116" bestFit="1" customWidth="1"/>
    <col min="10243" max="10243" width="3.5703125" style="116" bestFit="1" customWidth="1"/>
    <col min="10244" max="10259" width="9.140625" style="116"/>
    <col min="10260" max="10260" width="9" style="116" bestFit="1" customWidth="1"/>
    <col min="10261" max="10497" width="9.140625" style="116"/>
    <col min="10498" max="10498" width="11.5703125" style="116" bestFit="1" customWidth="1"/>
    <col min="10499" max="10499" width="3.5703125" style="116" bestFit="1" customWidth="1"/>
    <col min="10500" max="10515" width="9.140625" style="116"/>
    <col min="10516" max="10516" width="9" style="116" bestFit="1" customWidth="1"/>
    <col min="10517" max="10753" width="9.140625" style="116"/>
    <col min="10754" max="10754" width="11.5703125" style="116" bestFit="1" customWidth="1"/>
    <col min="10755" max="10755" width="3.5703125" style="116" bestFit="1" customWidth="1"/>
    <col min="10756" max="10771" width="9.140625" style="116"/>
    <col min="10772" max="10772" width="9" style="116" bestFit="1" customWidth="1"/>
    <col min="10773" max="11009" width="9.140625" style="116"/>
    <col min="11010" max="11010" width="11.5703125" style="116" bestFit="1" customWidth="1"/>
    <col min="11011" max="11011" width="3.5703125" style="116" bestFit="1" customWidth="1"/>
    <col min="11012" max="11027" width="9.140625" style="116"/>
    <col min="11028" max="11028" width="9" style="116" bestFit="1" customWidth="1"/>
    <col min="11029" max="11265" width="9.140625" style="116"/>
    <col min="11266" max="11266" width="11.5703125" style="116" bestFit="1" customWidth="1"/>
    <col min="11267" max="11267" width="3.5703125" style="116" bestFit="1" customWidth="1"/>
    <col min="11268" max="11283" width="9.140625" style="116"/>
    <col min="11284" max="11284" width="9" style="116" bestFit="1" customWidth="1"/>
    <col min="11285" max="11521" width="9.140625" style="116"/>
    <col min="11522" max="11522" width="11.5703125" style="116" bestFit="1" customWidth="1"/>
    <col min="11523" max="11523" width="3.5703125" style="116" bestFit="1" customWidth="1"/>
    <col min="11524" max="11539" width="9.140625" style="116"/>
    <col min="11540" max="11540" width="9" style="116" bestFit="1" customWidth="1"/>
    <col min="11541" max="11777" width="9.140625" style="116"/>
    <col min="11778" max="11778" width="11.5703125" style="116" bestFit="1" customWidth="1"/>
    <col min="11779" max="11779" width="3.5703125" style="116" bestFit="1" customWidth="1"/>
    <col min="11780" max="11795" width="9.140625" style="116"/>
    <col min="11796" max="11796" width="9" style="116" bestFit="1" customWidth="1"/>
    <col min="11797" max="12033" width="9.140625" style="116"/>
    <col min="12034" max="12034" width="11.5703125" style="116" bestFit="1" customWidth="1"/>
    <col min="12035" max="12035" width="3.5703125" style="116" bestFit="1" customWidth="1"/>
    <col min="12036" max="12051" width="9.140625" style="116"/>
    <col min="12052" max="12052" width="9" style="116" bestFit="1" customWidth="1"/>
    <col min="12053" max="12289" width="9.140625" style="116"/>
    <col min="12290" max="12290" width="11.5703125" style="116" bestFit="1" customWidth="1"/>
    <col min="12291" max="12291" width="3.5703125" style="116" bestFit="1" customWidth="1"/>
    <col min="12292" max="12307" width="9.140625" style="116"/>
    <col min="12308" max="12308" width="9" style="116" bestFit="1" customWidth="1"/>
    <col min="12309" max="12545" width="9.140625" style="116"/>
    <col min="12546" max="12546" width="11.5703125" style="116" bestFit="1" customWidth="1"/>
    <col min="12547" max="12547" width="3.5703125" style="116" bestFit="1" customWidth="1"/>
    <col min="12548" max="12563" width="9.140625" style="116"/>
    <col min="12564" max="12564" width="9" style="116" bestFit="1" customWidth="1"/>
    <col min="12565" max="12801" width="9.140625" style="116"/>
    <col min="12802" max="12802" width="11.5703125" style="116" bestFit="1" customWidth="1"/>
    <col min="12803" max="12803" width="3.5703125" style="116" bestFit="1" customWidth="1"/>
    <col min="12804" max="12819" width="9.140625" style="116"/>
    <col min="12820" max="12820" width="9" style="116" bestFit="1" customWidth="1"/>
    <col min="12821" max="13057" width="9.140625" style="116"/>
    <col min="13058" max="13058" width="11.5703125" style="116" bestFit="1" customWidth="1"/>
    <col min="13059" max="13059" width="3.5703125" style="116" bestFit="1" customWidth="1"/>
    <col min="13060" max="13075" width="9.140625" style="116"/>
    <col min="13076" max="13076" width="9" style="116" bestFit="1" customWidth="1"/>
    <col min="13077" max="13313" width="9.140625" style="116"/>
    <col min="13314" max="13314" width="11.5703125" style="116" bestFit="1" customWidth="1"/>
    <col min="13315" max="13315" width="3.5703125" style="116" bestFit="1" customWidth="1"/>
    <col min="13316" max="13331" width="9.140625" style="116"/>
    <col min="13332" max="13332" width="9" style="116" bestFit="1" customWidth="1"/>
    <col min="13333" max="13569" width="9.140625" style="116"/>
    <col min="13570" max="13570" width="11.5703125" style="116" bestFit="1" customWidth="1"/>
    <col min="13571" max="13571" width="3.5703125" style="116" bestFit="1" customWidth="1"/>
    <col min="13572" max="13587" width="9.140625" style="116"/>
    <col min="13588" max="13588" width="9" style="116" bestFit="1" customWidth="1"/>
    <col min="13589" max="13825" width="9.140625" style="116"/>
    <col min="13826" max="13826" width="11.5703125" style="116" bestFit="1" customWidth="1"/>
    <col min="13827" max="13827" width="3.5703125" style="116" bestFit="1" customWidth="1"/>
    <col min="13828" max="13843" width="9.140625" style="116"/>
    <col min="13844" max="13844" width="9" style="116" bestFit="1" customWidth="1"/>
    <col min="13845" max="14081" width="9.140625" style="116"/>
    <col min="14082" max="14082" width="11.5703125" style="116" bestFit="1" customWidth="1"/>
    <col min="14083" max="14083" width="3.5703125" style="116" bestFit="1" customWidth="1"/>
    <col min="14084" max="14099" width="9.140625" style="116"/>
    <col min="14100" max="14100" width="9" style="116" bestFit="1" customWidth="1"/>
    <col min="14101" max="14337" width="9.140625" style="116"/>
    <col min="14338" max="14338" width="11.5703125" style="116" bestFit="1" customWidth="1"/>
    <col min="14339" max="14339" width="3.5703125" style="116" bestFit="1" customWidth="1"/>
    <col min="14340" max="14355" width="9.140625" style="116"/>
    <col min="14356" max="14356" width="9" style="116" bestFit="1" customWidth="1"/>
    <col min="14357" max="14593" width="9.140625" style="116"/>
    <col min="14594" max="14594" width="11.5703125" style="116" bestFit="1" customWidth="1"/>
    <col min="14595" max="14595" width="3.5703125" style="116" bestFit="1" customWidth="1"/>
    <col min="14596" max="14611" width="9.140625" style="116"/>
    <col min="14612" max="14612" width="9" style="116" bestFit="1" customWidth="1"/>
    <col min="14613" max="14849" width="9.140625" style="116"/>
    <col min="14850" max="14850" width="11.5703125" style="116" bestFit="1" customWidth="1"/>
    <col min="14851" max="14851" width="3.5703125" style="116" bestFit="1" customWidth="1"/>
    <col min="14852" max="14867" width="9.140625" style="116"/>
    <col min="14868" max="14868" width="9" style="116" bestFit="1" customWidth="1"/>
    <col min="14869" max="15105" width="9.140625" style="116"/>
    <col min="15106" max="15106" width="11.5703125" style="116" bestFit="1" customWidth="1"/>
    <col min="15107" max="15107" width="3.5703125" style="116" bestFit="1" customWidth="1"/>
    <col min="15108" max="15123" width="9.140625" style="116"/>
    <col min="15124" max="15124" width="9" style="116" bestFit="1" customWidth="1"/>
    <col min="15125" max="15361" width="9.140625" style="116"/>
    <col min="15362" max="15362" width="11.5703125" style="116" bestFit="1" customWidth="1"/>
    <col min="15363" max="15363" width="3.5703125" style="116" bestFit="1" customWidth="1"/>
    <col min="15364" max="15379" width="9.140625" style="116"/>
    <col min="15380" max="15380" width="9" style="116" bestFit="1" customWidth="1"/>
    <col min="15381" max="15617" width="9.140625" style="116"/>
    <col min="15618" max="15618" width="11.5703125" style="116" bestFit="1" customWidth="1"/>
    <col min="15619" max="15619" width="3.5703125" style="116" bestFit="1" customWidth="1"/>
    <col min="15620" max="15635" width="9.140625" style="116"/>
    <col min="15636" max="15636" width="9" style="116" bestFit="1" customWidth="1"/>
    <col min="15637" max="15873" width="9.140625" style="116"/>
    <col min="15874" max="15874" width="11.5703125" style="116" bestFit="1" customWidth="1"/>
    <col min="15875" max="15875" width="3.5703125" style="116" bestFit="1" customWidth="1"/>
    <col min="15876" max="15891" width="9.140625" style="116"/>
    <col min="15892" max="15892" width="9" style="116" bestFit="1" customWidth="1"/>
    <col min="15893" max="16129" width="9.140625" style="116"/>
    <col min="16130" max="16130" width="11.5703125" style="116" bestFit="1" customWidth="1"/>
    <col min="16131" max="16131" width="3.5703125" style="116" bestFit="1" customWidth="1"/>
    <col min="16132" max="16147" width="9.140625" style="116"/>
    <col min="16148" max="16148" width="9" style="116" bestFit="1" customWidth="1"/>
    <col min="16149" max="16384" width="9.140625" style="116"/>
  </cols>
  <sheetData>
    <row r="1" spans="2:20" ht="21" x14ac:dyDescent="0.25">
      <c r="B1" s="114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</row>
    <row r="2" spans="2:20" ht="26.25" x14ac:dyDescent="0.25">
      <c r="B2" s="117" t="s">
        <v>145</v>
      </c>
      <c r="C2" s="354">
        <v>1</v>
      </c>
      <c r="D2" s="354"/>
      <c r="E2" s="354">
        <v>2</v>
      </c>
      <c r="F2" s="354"/>
      <c r="G2" s="354">
        <v>3</v>
      </c>
      <c r="H2" s="354"/>
      <c r="I2" s="354">
        <v>4</v>
      </c>
      <c r="J2" s="354"/>
      <c r="K2" s="354">
        <v>5</v>
      </c>
      <c r="L2" s="354"/>
      <c r="M2" s="354">
        <v>6</v>
      </c>
      <c r="N2" s="354"/>
      <c r="O2" s="354">
        <v>7</v>
      </c>
      <c r="P2" s="354"/>
      <c r="Q2" s="354">
        <v>8</v>
      </c>
      <c r="R2" s="354"/>
      <c r="S2" s="354">
        <v>9</v>
      </c>
      <c r="T2" s="354"/>
    </row>
    <row r="3" spans="2:20" ht="26.25" x14ac:dyDescent="0.25">
      <c r="B3" s="118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</row>
    <row r="4" spans="2:20" ht="27" thickBot="1" x14ac:dyDescent="0.3">
      <c r="B4" s="357" t="s">
        <v>146</v>
      </c>
      <c r="C4" s="117"/>
      <c r="D4" s="354">
        <v>12</v>
      </c>
      <c r="E4" s="354"/>
      <c r="F4" s="354">
        <v>12</v>
      </c>
      <c r="G4" s="354"/>
      <c r="H4" s="354">
        <v>12</v>
      </c>
      <c r="I4" s="354"/>
      <c r="J4" s="354">
        <v>12</v>
      </c>
      <c r="K4" s="354"/>
      <c r="L4" s="354">
        <v>12</v>
      </c>
      <c r="M4" s="354"/>
      <c r="N4" s="354">
        <v>12</v>
      </c>
      <c r="O4" s="354"/>
      <c r="P4" s="354">
        <v>12</v>
      </c>
      <c r="Q4" s="354"/>
      <c r="R4" s="354"/>
      <c r="S4" s="354"/>
      <c r="T4" s="117"/>
    </row>
    <row r="5" spans="2:20" ht="27.75" thickTop="1" thickBot="1" x14ac:dyDescent="0.3">
      <c r="B5" s="357"/>
      <c r="C5" s="119"/>
      <c r="D5" s="120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2"/>
      <c r="R5" s="355">
        <v>10</v>
      </c>
      <c r="S5" s="356"/>
      <c r="T5" s="117" t="s">
        <v>32</v>
      </c>
    </row>
    <row r="6" spans="2:20" ht="27.75" thickTop="1" thickBot="1" x14ac:dyDescent="0.3">
      <c r="B6" s="357"/>
      <c r="C6" s="119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23"/>
      <c r="S6" s="121"/>
      <c r="T6" s="117" t="s">
        <v>33</v>
      </c>
    </row>
    <row r="7" spans="2:20" ht="26.25" x14ac:dyDescent="0.25">
      <c r="B7" s="357"/>
      <c r="C7" s="119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</row>
    <row r="8" spans="2:20" ht="27" thickBot="1" x14ac:dyDescent="0.3">
      <c r="B8" s="357"/>
      <c r="C8" s="124">
        <v>2</v>
      </c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</row>
    <row r="9" spans="2:20" ht="27.75" thickTop="1" thickBot="1" x14ac:dyDescent="0.3">
      <c r="B9" s="357"/>
      <c r="C9" s="125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</row>
    <row r="10" spans="2:20" ht="21" x14ac:dyDescent="0.25">
      <c r="B10" s="114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</row>
    <row r="11" spans="2:20" ht="21" x14ac:dyDescent="0.25">
      <c r="B11" s="114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</row>
    <row r="12" spans="2:20" x14ac:dyDescent="0.25"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</row>
  </sheetData>
  <mergeCells count="19">
    <mergeCell ref="L4:M4"/>
    <mergeCell ref="N4:O4"/>
    <mergeCell ref="C2:D2"/>
    <mergeCell ref="E2:F2"/>
    <mergeCell ref="G2:H2"/>
    <mergeCell ref="I2:J2"/>
    <mergeCell ref="K2:L2"/>
    <mergeCell ref="M2:N2"/>
    <mergeCell ref="B4:B9"/>
    <mergeCell ref="D4:E4"/>
    <mergeCell ref="F4:G4"/>
    <mergeCell ref="H4:I4"/>
    <mergeCell ref="J4:K4"/>
    <mergeCell ref="P4:Q4"/>
    <mergeCell ref="R4:S4"/>
    <mergeCell ref="R5:S5"/>
    <mergeCell ref="O2:P2"/>
    <mergeCell ref="Q2:R2"/>
    <mergeCell ref="S2:T2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2">
    <tabColor rgb="FFFFC000"/>
  </sheetPr>
  <dimension ref="B1:D69"/>
  <sheetViews>
    <sheetView showGridLines="0" workbookViewId="0">
      <selection activeCell="D12" sqref="B2:D12"/>
    </sheetView>
  </sheetViews>
  <sheetFormatPr defaultColWidth="9.140625" defaultRowHeight="15" outlineLevelRow="2" x14ac:dyDescent="0.25"/>
  <cols>
    <col min="1" max="1" width="8.7109375" style="6" customWidth="1"/>
    <col min="2" max="2" width="34.42578125" style="50" bestFit="1" customWidth="1"/>
    <col min="3" max="3" width="8.7109375" style="42" bestFit="1" customWidth="1"/>
    <col min="4" max="4" width="14.42578125" style="42" bestFit="1" customWidth="1"/>
    <col min="5" max="5" width="22.42578125" style="6" bestFit="1" customWidth="1"/>
    <col min="6" max="6" width="17.28515625" style="6" bestFit="1" customWidth="1"/>
    <col min="7" max="7" width="15" style="6" bestFit="1" customWidth="1"/>
    <col min="8" max="16384" width="9.140625" style="6"/>
  </cols>
  <sheetData>
    <row r="1" spans="2:4" ht="15.75" thickBot="1" x14ac:dyDescent="0.3">
      <c r="B1" s="111"/>
      <c r="C1" s="81"/>
      <c r="D1" s="81"/>
    </row>
    <row r="2" spans="2:4" ht="15.75" thickTop="1" x14ac:dyDescent="0.25">
      <c r="B2" s="50" t="str">
        <f>Leasing!D6</f>
        <v>Prezzo dell’Immobile</v>
      </c>
      <c r="D2" s="150">
        <f>Leasing!F6</f>
        <v>10000000</v>
      </c>
    </row>
    <row r="3" spans="2:4" x14ac:dyDescent="0.25">
      <c r="B3" s="50" t="str">
        <f>Leasing!D8</f>
        <v>Spese di Istruttoria</v>
      </c>
      <c r="C3" s="44">
        <f>Leasing!E8</f>
        <v>5.0000000000000001E-3</v>
      </c>
      <c r="D3" s="150">
        <f>Leasing!F8</f>
        <v>50000</v>
      </c>
    </row>
    <row r="4" spans="2:4" x14ac:dyDescent="0.25">
      <c r="B4" s="50" t="str">
        <f>Leasing!D9</f>
        <v>Maxicanone Iniziale</v>
      </c>
      <c r="C4" s="44">
        <f>Leasing!E9</f>
        <v>0.2</v>
      </c>
      <c r="D4" s="150">
        <f>Leasing!F9</f>
        <v>2000000</v>
      </c>
    </row>
    <row r="5" spans="2:4" x14ac:dyDescent="0.25">
      <c r="B5" s="50" t="str">
        <f>Leasing!D10</f>
        <v>Numero Annualità</v>
      </c>
      <c r="C5" s="46">
        <f>Leasing!E10</f>
        <v>18</v>
      </c>
      <c r="D5" s="150"/>
    </row>
    <row r="6" spans="2:4" x14ac:dyDescent="0.25">
      <c r="B6" s="50" t="str">
        <f>Leasing!D11</f>
        <v>Tasso nominale del Leasing</v>
      </c>
      <c r="C6" s="44">
        <f>Leasing!E11</f>
        <v>5.2999999999999999E-2</v>
      </c>
      <c r="D6" s="150"/>
    </row>
    <row r="7" spans="2:4" x14ac:dyDescent="0.25">
      <c r="B7" s="50" t="str">
        <f>Leasing!D12</f>
        <v>Opzione di Riscatto</v>
      </c>
      <c r="C7" s="44">
        <f>Leasing!E12</f>
        <v>0.1</v>
      </c>
      <c r="D7" s="150">
        <f>Leasing!F12</f>
        <v>1000000</v>
      </c>
    </row>
    <row r="8" spans="2:4" x14ac:dyDescent="0.25">
      <c r="B8" s="50" t="str">
        <f>Leasing!D13</f>
        <v>Aliquota Ammortamento Immobile</v>
      </c>
      <c r="C8" s="44">
        <f>Leasing!E13</f>
        <v>0.03</v>
      </c>
    </row>
    <row r="9" spans="2:4" x14ac:dyDescent="0.25">
      <c r="B9" s="50" t="str">
        <f>Leasing!D14</f>
        <v>Incidenza Fiscale del Terreno</v>
      </c>
      <c r="C9" s="44">
        <f>Leasing!E14</f>
        <v>0.2</v>
      </c>
    </row>
    <row r="10" spans="2:4" x14ac:dyDescent="0.25">
      <c r="B10" s="50" t="str">
        <f>Leasing!D15</f>
        <v>Imposte ip. e cat. (Leasing)</v>
      </c>
      <c r="C10" s="44">
        <f>Leasing!E15</f>
        <v>0.04</v>
      </c>
    </row>
    <row r="11" spans="2:4" x14ac:dyDescent="0.25">
      <c r="B11" s="50" t="str">
        <f>Leasing!D16</f>
        <v>Aliquota IRES</v>
      </c>
      <c r="C11" s="44">
        <f>Leasing!E16</f>
        <v>0.24</v>
      </c>
    </row>
    <row r="12" spans="2:4" ht="15.75" thickBot="1" x14ac:dyDescent="0.3">
      <c r="B12" s="111" t="str">
        <f>Leasing!D17</f>
        <v>Aliquota IRAP</v>
      </c>
      <c r="C12" s="126">
        <f>Leasing!E17</f>
        <v>3.9E-2</v>
      </c>
      <c r="D12" s="81"/>
    </row>
    <row r="13" spans="2:4" ht="15.75" thickTop="1" x14ac:dyDescent="0.25"/>
    <row r="22" spans="2:4" s="14" customFormat="1" x14ac:dyDescent="0.25">
      <c r="B22" s="52"/>
      <c r="C22" s="48"/>
      <c r="D22" s="48"/>
    </row>
    <row r="23" spans="2:4" s="14" customFormat="1" x14ac:dyDescent="0.25">
      <c r="B23" s="52"/>
      <c r="C23" s="48"/>
      <c r="D23" s="48"/>
    </row>
    <row r="24" spans="2:4" s="14" customFormat="1" x14ac:dyDescent="0.25">
      <c r="B24" s="52"/>
      <c r="C24" s="48"/>
      <c r="D24" s="48"/>
    </row>
    <row r="25" spans="2:4" s="14" customFormat="1" x14ac:dyDescent="0.25">
      <c r="B25" s="52"/>
      <c r="C25" s="48"/>
      <c r="D25" s="48"/>
    </row>
    <row r="26" spans="2:4" s="14" customFormat="1" x14ac:dyDescent="0.25">
      <c r="B26" s="52"/>
      <c r="C26" s="48"/>
      <c r="D26" s="48"/>
    </row>
    <row r="27" spans="2:4" s="14" customFormat="1" x14ac:dyDescent="0.25">
      <c r="B27" s="52"/>
      <c r="C27" s="48"/>
      <c r="D27" s="48"/>
    </row>
    <row r="28" spans="2:4" s="14" customFormat="1" x14ac:dyDescent="0.25">
      <c r="B28" s="52"/>
      <c r="C28" s="48"/>
      <c r="D28" s="48"/>
    </row>
    <row r="29" spans="2:4" s="14" customFormat="1" x14ac:dyDescent="0.25">
      <c r="B29" s="52"/>
      <c r="C29" s="48"/>
      <c r="D29" s="48"/>
    </row>
    <row r="30" spans="2:4" s="14" customFormat="1" x14ac:dyDescent="0.25">
      <c r="B30" s="52"/>
      <c r="C30" s="48"/>
      <c r="D30" s="48"/>
    </row>
    <row r="33" spans="2:4" s="9" customFormat="1" x14ac:dyDescent="0.25">
      <c r="B33" s="53"/>
      <c r="C33" s="49"/>
      <c r="D33" s="49"/>
    </row>
    <row r="46" spans="2:4" outlineLevel="1" x14ac:dyDescent="0.25"/>
    <row r="47" spans="2:4" outlineLevel="1" x14ac:dyDescent="0.25"/>
    <row r="48" spans="2:4" outlineLevel="1" x14ac:dyDescent="0.25"/>
    <row r="49" spans="2:4" outlineLevel="1" x14ac:dyDescent="0.25"/>
    <row r="50" spans="2:4" outlineLevel="1" x14ac:dyDescent="0.25"/>
    <row r="51" spans="2:4" outlineLevel="1" x14ac:dyDescent="0.25"/>
    <row r="52" spans="2:4" s="9" customFormat="1" x14ac:dyDescent="0.25">
      <c r="B52" s="53"/>
      <c r="C52" s="49"/>
      <c r="D52" s="49"/>
    </row>
    <row r="53" spans="2:4" outlineLevel="1" x14ac:dyDescent="0.25"/>
    <row r="55" spans="2:4" outlineLevel="1" x14ac:dyDescent="0.25"/>
    <row r="56" spans="2:4" outlineLevel="1" x14ac:dyDescent="0.25"/>
    <row r="57" spans="2:4" outlineLevel="1" x14ac:dyDescent="0.25"/>
    <row r="60" spans="2:4" outlineLevel="1" x14ac:dyDescent="0.25"/>
    <row r="61" spans="2:4" outlineLevel="1" x14ac:dyDescent="0.25"/>
    <row r="62" spans="2:4" outlineLevel="1" x14ac:dyDescent="0.25"/>
    <row r="63" spans="2:4" outlineLevel="1" x14ac:dyDescent="0.25"/>
    <row r="64" spans="2:4" outlineLevel="1" x14ac:dyDescent="0.25"/>
    <row r="65" spans="2:4" s="9" customFormat="1" x14ac:dyDescent="0.25">
      <c r="B65" s="53"/>
      <c r="C65" s="49"/>
      <c r="D65" s="49"/>
    </row>
    <row r="66" spans="2:4" outlineLevel="1" x14ac:dyDescent="0.25"/>
    <row r="67" spans="2:4" outlineLevel="1" x14ac:dyDescent="0.25"/>
    <row r="68" spans="2:4" outlineLevel="1" x14ac:dyDescent="0.25"/>
    <row r="69" spans="2:4" outlineLevel="2" x14ac:dyDescent="0.25"/>
  </sheetData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3">
    <tabColor rgb="FFFFC000"/>
  </sheetPr>
  <dimension ref="B1:D56"/>
  <sheetViews>
    <sheetView showGridLines="0" workbookViewId="0">
      <selection activeCell="B2" sqref="B2:D6"/>
    </sheetView>
  </sheetViews>
  <sheetFormatPr defaultColWidth="9.140625" defaultRowHeight="15" outlineLevelRow="2" x14ac:dyDescent="0.25"/>
  <cols>
    <col min="1" max="1" width="8.7109375" style="6" customWidth="1"/>
    <col min="2" max="2" width="43.140625" style="50" bestFit="1" customWidth="1"/>
    <col min="3" max="3" width="9.42578125" style="42" bestFit="1" customWidth="1"/>
    <col min="4" max="4" width="47.5703125" style="50" bestFit="1" customWidth="1"/>
    <col min="5" max="5" width="15" style="6" bestFit="1" customWidth="1"/>
    <col min="6" max="16384" width="9.140625" style="6"/>
  </cols>
  <sheetData>
    <row r="1" spans="2:4" ht="15.75" thickBot="1" x14ac:dyDescent="0.3">
      <c r="B1" s="111"/>
      <c r="C1" s="81"/>
      <c r="D1" s="111"/>
    </row>
    <row r="2" spans="2:4" ht="15.75" thickTop="1" x14ac:dyDescent="0.25">
      <c r="B2" s="50" t="str">
        <f>Leasing!D20</f>
        <v>Importo finanziato da ammortizzare nel periodo</v>
      </c>
      <c r="C2" s="45">
        <f>Leasing!E20</f>
        <v>7000000</v>
      </c>
      <c r="D2" s="50" t="str">
        <f>Leasing!F20</f>
        <v>(prezzo del bene - canone iniziale - opzione di riscatto)</v>
      </c>
    </row>
    <row r="3" spans="2:4" x14ac:dyDescent="0.25">
      <c r="B3" s="50" t="str">
        <f>Leasing!D21</f>
        <v>Importo finanziato bullet da rimborsare al riscatto</v>
      </c>
      <c r="C3" s="45">
        <f>Leasing!E21</f>
        <v>1000000</v>
      </c>
      <c r="D3" s="50" t="str">
        <f>Leasing!F21</f>
        <v>(opzione di riscatto)</v>
      </c>
    </row>
    <row r="4" spans="2:4" x14ac:dyDescent="0.25">
      <c r="B4" s="50" t="str">
        <f>Leasing!D22</f>
        <v>Rata finanziamento da ammortizzare</v>
      </c>
      <c r="C4" s="45">
        <f>Leasing!E22</f>
        <v>612939.63769711484</v>
      </c>
      <c r="D4" s="50" t="str">
        <f>Leasing!F22</f>
        <v>a (rata di un mutuo con ammortamento alla francese)</v>
      </c>
    </row>
    <row r="5" spans="2:4" x14ac:dyDescent="0.25">
      <c r="B5" s="51" t="str">
        <f>Leasing!D23</f>
        <v>Interessi su riscatto</v>
      </c>
      <c r="C5" s="54">
        <f>Leasing!E23</f>
        <v>53000</v>
      </c>
      <c r="D5" s="51" t="str">
        <f>Leasing!F23</f>
        <v>b (finanziamento bullet)</v>
      </c>
    </row>
    <row r="6" spans="2:4" x14ac:dyDescent="0.25">
      <c r="B6" s="56" t="str">
        <f>Leasing!D24</f>
        <v>Canone annuale</v>
      </c>
      <c r="C6" s="55">
        <f>Leasing!E24</f>
        <v>665939.63769711484</v>
      </c>
      <c r="D6" s="50" t="str">
        <f>Leasing!F24</f>
        <v>c = a + b</v>
      </c>
    </row>
    <row r="9" spans="2:4" s="14" customFormat="1" x14ac:dyDescent="0.25">
      <c r="B9" s="52"/>
      <c r="C9" s="48"/>
      <c r="D9" s="52"/>
    </row>
    <row r="10" spans="2:4" s="14" customFormat="1" x14ac:dyDescent="0.25">
      <c r="B10" s="52"/>
      <c r="C10" s="48"/>
      <c r="D10" s="52"/>
    </row>
    <row r="11" spans="2:4" s="14" customFormat="1" x14ac:dyDescent="0.25">
      <c r="B11" s="52"/>
      <c r="C11" s="48"/>
      <c r="D11" s="52"/>
    </row>
    <row r="12" spans="2:4" s="14" customFormat="1" x14ac:dyDescent="0.25">
      <c r="B12" s="52"/>
      <c r="C12" s="48"/>
      <c r="D12" s="52"/>
    </row>
    <row r="13" spans="2:4" s="14" customFormat="1" x14ac:dyDescent="0.25">
      <c r="B13" s="52"/>
      <c r="C13" s="48"/>
      <c r="D13" s="52"/>
    </row>
    <row r="14" spans="2:4" s="14" customFormat="1" x14ac:dyDescent="0.25">
      <c r="B14" s="52"/>
      <c r="C14" s="48"/>
      <c r="D14" s="52"/>
    </row>
    <row r="15" spans="2:4" s="14" customFormat="1" x14ac:dyDescent="0.25">
      <c r="B15" s="52"/>
      <c r="C15" s="48"/>
      <c r="D15" s="52"/>
    </row>
    <row r="16" spans="2:4" s="14" customFormat="1" x14ac:dyDescent="0.25">
      <c r="B16" s="52"/>
      <c r="C16" s="48"/>
      <c r="D16" s="52"/>
    </row>
    <row r="17" spans="2:4" s="14" customFormat="1" x14ac:dyDescent="0.25">
      <c r="B17" s="52"/>
      <c r="C17" s="48"/>
      <c r="D17" s="52"/>
    </row>
    <row r="20" spans="2:4" s="9" customFormat="1" x14ac:dyDescent="0.25">
      <c r="B20" s="53"/>
      <c r="C20" s="49"/>
      <c r="D20" s="53"/>
    </row>
    <row r="33" spans="2:4" outlineLevel="1" x14ac:dyDescent="0.25"/>
    <row r="34" spans="2:4" outlineLevel="1" x14ac:dyDescent="0.25"/>
    <row r="35" spans="2:4" outlineLevel="1" x14ac:dyDescent="0.25"/>
    <row r="36" spans="2:4" outlineLevel="1" x14ac:dyDescent="0.25"/>
    <row r="37" spans="2:4" outlineLevel="1" x14ac:dyDescent="0.25"/>
    <row r="38" spans="2:4" outlineLevel="1" x14ac:dyDescent="0.25"/>
    <row r="39" spans="2:4" s="9" customFormat="1" x14ac:dyDescent="0.25">
      <c r="B39" s="53"/>
      <c r="C39" s="49"/>
      <c r="D39" s="53"/>
    </row>
    <row r="40" spans="2:4" outlineLevel="1" x14ac:dyDescent="0.25"/>
    <row r="42" spans="2:4" outlineLevel="1" x14ac:dyDescent="0.25"/>
    <row r="43" spans="2:4" outlineLevel="1" x14ac:dyDescent="0.25"/>
    <row r="44" spans="2:4" outlineLevel="1" x14ac:dyDescent="0.25"/>
    <row r="47" spans="2:4" outlineLevel="1" x14ac:dyDescent="0.25"/>
    <row r="48" spans="2:4" outlineLevel="1" x14ac:dyDescent="0.25"/>
    <row r="49" spans="2:4" outlineLevel="1" x14ac:dyDescent="0.25"/>
    <row r="50" spans="2:4" outlineLevel="1" x14ac:dyDescent="0.25"/>
    <row r="51" spans="2:4" outlineLevel="1" x14ac:dyDescent="0.25"/>
    <row r="52" spans="2:4" s="9" customFormat="1" x14ac:dyDescent="0.25">
      <c r="B52" s="53"/>
      <c r="C52" s="49"/>
      <c r="D52" s="53"/>
    </row>
    <row r="53" spans="2:4" outlineLevel="1" x14ac:dyDescent="0.25"/>
    <row r="54" spans="2:4" outlineLevel="1" x14ac:dyDescent="0.25"/>
    <row r="55" spans="2:4" outlineLevel="1" x14ac:dyDescent="0.25"/>
    <row r="56" spans="2:4" outlineLevel="2" x14ac:dyDescent="0.25"/>
  </sheetData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14">
    <tabColor rgb="FFFFC000"/>
  </sheetPr>
  <dimension ref="B1:R49"/>
  <sheetViews>
    <sheetView showGridLines="0" workbookViewId="0">
      <selection activeCell="C2" sqref="B2:C10"/>
    </sheetView>
  </sheetViews>
  <sheetFormatPr defaultColWidth="9.140625" defaultRowHeight="15" outlineLevelRow="1" x14ac:dyDescent="0.25"/>
  <cols>
    <col min="1" max="1" width="8.7109375" style="6" customWidth="1"/>
    <col min="2" max="2" width="37.7109375" style="50" bestFit="1" customWidth="1"/>
    <col min="3" max="3" width="12.42578125" style="42" bestFit="1" customWidth="1"/>
    <col min="4" max="5" width="22.42578125" style="6" bestFit="1" customWidth="1"/>
    <col min="6" max="6" width="15" style="6" bestFit="1" customWidth="1"/>
    <col min="7" max="7" width="57" style="6" bestFit="1" customWidth="1"/>
    <col min="8" max="17" width="15" style="6" bestFit="1" customWidth="1"/>
    <col min="18" max="18" width="15" style="6" bestFit="1" customWidth="1" collapsed="1"/>
    <col min="19" max="19" width="15" style="6" bestFit="1" customWidth="1"/>
    <col min="20" max="20" width="17.28515625" style="6" bestFit="1" customWidth="1"/>
    <col min="21" max="21" width="15" style="6" bestFit="1" customWidth="1"/>
    <col min="22" max="16384" width="9.140625" style="6"/>
  </cols>
  <sheetData>
    <row r="1" spans="2:13" ht="15.75" thickBot="1" x14ac:dyDescent="0.3">
      <c r="B1" s="72"/>
      <c r="C1" s="81"/>
    </row>
    <row r="2" spans="2:13" s="14" customFormat="1" ht="15.75" thickTop="1" x14ac:dyDescent="0.25">
      <c r="B2" s="132" t="str">
        <f>Leasing!D26</f>
        <v xml:space="preserve">Costo totale del leasing </v>
      </c>
      <c r="C2" s="133">
        <f>Leasing!F26</f>
        <v>13986913.478548067</v>
      </c>
      <c r="D2" s="13"/>
      <c r="I2" s="12"/>
      <c r="J2" s="12"/>
      <c r="K2" s="12"/>
      <c r="L2" s="12"/>
      <c r="M2" s="12"/>
    </row>
    <row r="3" spans="2:13" s="14" customFormat="1" x14ac:dyDescent="0.25">
      <c r="B3" s="52" t="str">
        <f>Leasing!D27</f>
        <v xml:space="preserve">di cui quota capitale </v>
      </c>
      <c r="C3" s="57">
        <f>Leasing!F27</f>
        <v>9000000</v>
      </c>
      <c r="I3" s="12"/>
      <c r="J3" s="12"/>
      <c r="K3" s="12"/>
      <c r="L3" s="12"/>
      <c r="M3" s="12"/>
    </row>
    <row r="4" spans="2:13" s="14" customFormat="1" x14ac:dyDescent="0.25">
      <c r="B4" s="61" t="str">
        <f>Leasing!E28</f>
        <v>di cui quota terreno</v>
      </c>
      <c r="C4" s="58">
        <f>Leasing!F28</f>
        <v>1800000</v>
      </c>
      <c r="I4" s="12"/>
      <c r="J4" s="12"/>
      <c r="K4" s="12"/>
      <c r="L4" s="12"/>
      <c r="M4" s="12"/>
    </row>
    <row r="5" spans="2:13" s="14" customFormat="1" x14ac:dyDescent="0.25">
      <c r="B5" s="61" t="str">
        <f>Leasing!E29</f>
        <v>di cui quota fabbricato</v>
      </c>
      <c r="C5" s="58">
        <f>Leasing!F29</f>
        <v>7200000</v>
      </c>
      <c r="I5" s="12"/>
      <c r="J5" s="12"/>
      <c r="K5" s="12"/>
      <c r="L5" s="12"/>
      <c r="M5" s="12"/>
    </row>
    <row r="6" spans="2:13" s="14" customFormat="1" x14ac:dyDescent="0.25">
      <c r="B6" s="52" t="str">
        <f>Leasing!D30</f>
        <v xml:space="preserve">di cui quota interessi </v>
      </c>
      <c r="C6" s="57">
        <f>Leasing!F30</f>
        <v>4986913.4785480667</v>
      </c>
    </row>
    <row r="7" spans="2:13" s="14" customFormat="1" x14ac:dyDescent="0.25">
      <c r="B7" s="52" t="str">
        <f>Leasing!D31</f>
        <v>Totale Canoni fiscalmente deducibile IRES</v>
      </c>
      <c r="C7" s="57">
        <f>Leasing!F31</f>
        <v>12186913.478548067</v>
      </c>
      <c r="G7" s="10"/>
      <c r="H7" s="10"/>
      <c r="I7" s="12"/>
      <c r="J7" s="12"/>
      <c r="K7" s="12"/>
      <c r="L7" s="12"/>
      <c r="M7" s="12"/>
    </row>
    <row r="8" spans="2:13" s="14" customFormat="1" x14ac:dyDescent="0.25">
      <c r="B8" s="62" t="str">
        <f>Leasing!D32</f>
        <v>Canone medio fiscale IRES</v>
      </c>
      <c r="C8" s="59">
        <f>Leasing!F32</f>
        <v>677050.74880822597</v>
      </c>
      <c r="D8" s="6"/>
      <c r="I8" s="12"/>
      <c r="J8" s="12"/>
      <c r="K8" s="12"/>
      <c r="L8" s="12"/>
      <c r="M8" s="12"/>
    </row>
    <row r="9" spans="2:13" s="14" customFormat="1" x14ac:dyDescent="0.25">
      <c r="B9" s="63" t="str">
        <f>Leasing!D33</f>
        <v>Canone medio fiscale IRAP</v>
      </c>
      <c r="C9" s="60">
        <f>Leasing!F33</f>
        <v>400000</v>
      </c>
      <c r="D9" s="6"/>
      <c r="I9" s="12"/>
      <c r="J9" s="12"/>
      <c r="K9" s="12"/>
      <c r="L9" s="12"/>
      <c r="M9" s="12"/>
    </row>
    <row r="10" spans="2:13" s="14" customFormat="1" ht="15.75" thickBot="1" x14ac:dyDescent="0.3">
      <c r="B10" s="134" t="str">
        <f>Leasing!D34</f>
        <v>Valore fiscale del riscatto</v>
      </c>
      <c r="C10" s="135">
        <f>Leasing!F34</f>
        <v>2800000</v>
      </c>
      <c r="D10" s="6"/>
      <c r="I10" s="12"/>
      <c r="J10" s="12"/>
      <c r="K10" s="12"/>
      <c r="L10" s="12"/>
      <c r="M10" s="12"/>
    </row>
    <row r="11" spans="2:13" ht="15.75" thickTop="1" x14ac:dyDescent="0.25">
      <c r="B11" s="56"/>
      <c r="G11" s="14"/>
      <c r="H11" s="14"/>
      <c r="I11" s="12"/>
      <c r="J11" s="12"/>
      <c r="K11" s="12"/>
      <c r="L11" s="12"/>
      <c r="M11" s="12"/>
    </row>
    <row r="13" spans="2:13" s="9" customFormat="1" x14ac:dyDescent="0.25">
      <c r="B13" s="53"/>
      <c r="C13" s="49"/>
    </row>
    <row r="32" spans="2:3" s="9" customFormat="1" x14ac:dyDescent="0.25">
      <c r="B32" s="53"/>
      <c r="C32" s="49"/>
    </row>
    <row r="45" spans="2:3" s="9" customFormat="1" x14ac:dyDescent="0.25">
      <c r="B45" s="53"/>
      <c r="C45" s="49"/>
    </row>
    <row r="49" outlineLevel="1" x14ac:dyDescent="0.25"/>
  </sheetData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15">
    <tabColor rgb="FFFFC000"/>
  </sheetPr>
  <dimension ref="A2:W9"/>
  <sheetViews>
    <sheetView showGridLines="0" workbookViewId="0">
      <selection activeCell="U2" sqref="B2:U9"/>
    </sheetView>
  </sheetViews>
  <sheetFormatPr defaultColWidth="9.140625" defaultRowHeight="15" outlineLevelCol="1" x14ac:dyDescent="0.25"/>
  <cols>
    <col min="1" max="1" width="8.7109375" style="6" customWidth="1"/>
    <col min="2" max="2" width="35.28515625" style="50" bestFit="1" customWidth="1"/>
    <col min="3" max="3" width="14.42578125" style="42" bestFit="1" customWidth="1"/>
    <col min="4" max="5" width="12" style="42" bestFit="1" customWidth="1"/>
    <col min="6" max="17" width="12" style="42" hidden="1" customWidth="1" outlineLevel="1"/>
    <col min="18" max="18" width="12" style="42" hidden="1" customWidth="1" outlineLevel="1" collapsed="1"/>
    <col min="19" max="19" width="0.85546875" style="42" customWidth="1" collapsed="1"/>
    <col min="20" max="21" width="12" style="42" bestFit="1" customWidth="1"/>
    <col min="22" max="16384" width="9.140625" style="6"/>
  </cols>
  <sheetData>
    <row r="2" spans="1:23" s="9" customFormat="1" ht="15.75" thickBot="1" x14ac:dyDescent="0.3">
      <c r="B2" s="72" t="str">
        <f>Leasing!D36</f>
        <v>FLUSSO CONTRATTUALE</v>
      </c>
      <c r="C2" s="73">
        <f>Leasing!F36</f>
        <v>0</v>
      </c>
      <c r="D2" s="73">
        <f>Leasing!G36</f>
        <v>1</v>
      </c>
      <c r="E2" s="73">
        <f>Leasing!H36</f>
        <v>2</v>
      </c>
      <c r="F2" s="73">
        <f>Leasing!I36</f>
        <v>3</v>
      </c>
      <c r="G2" s="73">
        <f>Leasing!J36</f>
        <v>4</v>
      </c>
      <c r="H2" s="73">
        <f>Leasing!K36</f>
        <v>5</v>
      </c>
      <c r="I2" s="73">
        <f>Leasing!L36</f>
        <v>6</v>
      </c>
      <c r="J2" s="73">
        <f>Leasing!M36</f>
        <v>7</v>
      </c>
      <c r="K2" s="73">
        <f>Leasing!N36</f>
        <v>8</v>
      </c>
      <c r="L2" s="73">
        <f>Leasing!O36</f>
        <v>9</v>
      </c>
      <c r="M2" s="73">
        <f>Leasing!P36</f>
        <v>10</v>
      </c>
      <c r="N2" s="73">
        <f>Leasing!Q36</f>
        <v>11</v>
      </c>
      <c r="O2" s="73">
        <f>Leasing!R36</f>
        <v>12</v>
      </c>
      <c r="P2" s="73">
        <f>Leasing!S36</f>
        <v>13</v>
      </c>
      <c r="Q2" s="73">
        <f>Leasing!T36</f>
        <v>14</v>
      </c>
      <c r="R2" s="73">
        <f>Leasing!U36</f>
        <v>15</v>
      </c>
      <c r="S2" s="136"/>
      <c r="T2" s="74">
        <f>Leasing!W36</f>
        <v>17</v>
      </c>
      <c r="U2" s="74">
        <f>Leasing!X36</f>
        <v>18</v>
      </c>
      <c r="V2" s="11"/>
      <c r="W2" s="11"/>
    </row>
    <row r="3" spans="1:23" ht="15.75" thickTop="1" x14ac:dyDescent="0.25">
      <c r="B3" s="50" t="str">
        <f>Leasing!D37</f>
        <v>Prezzo del bene (mancato esborso)</v>
      </c>
      <c r="C3" s="45">
        <f>Leasing!F37</f>
        <v>10000000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137"/>
      <c r="T3" s="65"/>
      <c r="U3" s="65"/>
    </row>
    <row r="4" spans="1:23" x14ac:dyDescent="0.25">
      <c r="B4" s="50" t="str">
        <f>Leasing!D38</f>
        <v>Spese di Istruttoria</v>
      </c>
      <c r="C4" s="45">
        <f>Leasing!F38</f>
        <v>-50000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137"/>
      <c r="T4" s="65"/>
      <c r="U4" s="65"/>
    </row>
    <row r="5" spans="1:23" x14ac:dyDescent="0.25">
      <c r="B5" s="50" t="str">
        <f>Leasing!D39</f>
        <v>Maxicanone Iniziale</v>
      </c>
      <c r="C5" s="45">
        <f>Leasing!F39</f>
        <v>-2000000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137"/>
      <c r="T5" s="65"/>
      <c r="U5" s="65"/>
    </row>
    <row r="6" spans="1:23" x14ac:dyDescent="0.25">
      <c r="B6" s="50" t="str">
        <f>Leasing!D40</f>
        <v>Canone</v>
      </c>
      <c r="C6" s="45"/>
      <c r="D6" s="45">
        <f>Leasing!G40</f>
        <v>-665939.63769711484</v>
      </c>
      <c r="E6" s="45">
        <f>Leasing!H40</f>
        <v>-665939.63769711484</v>
      </c>
      <c r="F6" s="45">
        <f>Leasing!I40</f>
        <v>-665939.63769711484</v>
      </c>
      <c r="G6" s="45">
        <f>Leasing!J40</f>
        <v>-665939.63769711484</v>
      </c>
      <c r="H6" s="45">
        <f>Leasing!K40</f>
        <v>-665939.63769711484</v>
      </c>
      <c r="I6" s="45">
        <f>Leasing!L40</f>
        <v>-665939.63769711484</v>
      </c>
      <c r="J6" s="45">
        <f>Leasing!M40</f>
        <v>-665939.63769711484</v>
      </c>
      <c r="K6" s="45">
        <f>Leasing!N40</f>
        <v>-665939.63769711484</v>
      </c>
      <c r="L6" s="45">
        <f>Leasing!O40</f>
        <v>-665939.63769711484</v>
      </c>
      <c r="M6" s="45">
        <f>Leasing!P40</f>
        <v>-665939.63769711484</v>
      </c>
      <c r="N6" s="45">
        <f>Leasing!Q40</f>
        <v>-665939.63769711484</v>
      </c>
      <c r="O6" s="45">
        <f>Leasing!R40</f>
        <v>-665939.63769711484</v>
      </c>
      <c r="P6" s="45">
        <f>Leasing!S40</f>
        <v>-665939.63769711484</v>
      </c>
      <c r="Q6" s="45">
        <f>Leasing!T40</f>
        <v>-665939.63769711484</v>
      </c>
      <c r="R6" s="45">
        <f>Leasing!U40</f>
        <v>-665939.63769711484</v>
      </c>
      <c r="S6" s="137"/>
      <c r="T6" s="65">
        <f>Leasing!W40</f>
        <v>-665939.63769711484</v>
      </c>
      <c r="U6" s="65">
        <f>Leasing!X40</f>
        <v>-665939.63769711484</v>
      </c>
    </row>
    <row r="7" spans="1:23" x14ac:dyDescent="0.25">
      <c r="B7" s="51" t="str">
        <f>Leasing!D41</f>
        <v>Riscatto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138"/>
      <c r="T7" s="66"/>
      <c r="U7" s="66">
        <f>Leasing!X41</f>
        <v>-1000000</v>
      </c>
    </row>
    <row r="8" spans="1:23" x14ac:dyDescent="0.25">
      <c r="A8" s="10"/>
      <c r="B8" s="56" t="str">
        <f>Leasing!D42</f>
        <v>Flusso Contrattuale</v>
      </c>
      <c r="C8" s="55">
        <f>Leasing!F42</f>
        <v>7950000</v>
      </c>
      <c r="D8" s="55">
        <f>Leasing!G42</f>
        <v>-665939.63769711484</v>
      </c>
      <c r="E8" s="55">
        <f>Leasing!H42</f>
        <v>-665939.63769711484</v>
      </c>
      <c r="F8" s="55">
        <f>Leasing!I42</f>
        <v>-665939.63769711484</v>
      </c>
      <c r="G8" s="55">
        <f>Leasing!J42</f>
        <v>-665939.63769711484</v>
      </c>
      <c r="H8" s="55">
        <f>Leasing!K42</f>
        <v>-665939.63769711484</v>
      </c>
      <c r="I8" s="55">
        <f>Leasing!L42</f>
        <v>-665939.63769711484</v>
      </c>
      <c r="J8" s="55">
        <f>Leasing!M42</f>
        <v>-665939.63769711484</v>
      </c>
      <c r="K8" s="55">
        <f>Leasing!N42</f>
        <v>-665939.63769711484</v>
      </c>
      <c r="L8" s="55">
        <f>Leasing!O42</f>
        <v>-665939.63769711484</v>
      </c>
      <c r="M8" s="55">
        <f>Leasing!P42</f>
        <v>-665939.63769711484</v>
      </c>
      <c r="N8" s="55">
        <f>Leasing!Q42</f>
        <v>-665939.63769711484</v>
      </c>
      <c r="O8" s="55">
        <f>Leasing!R42</f>
        <v>-665939.63769711484</v>
      </c>
      <c r="P8" s="55">
        <f>Leasing!S42</f>
        <v>-665939.63769711484</v>
      </c>
      <c r="Q8" s="55">
        <f>Leasing!T42</f>
        <v>-665939.63769711484</v>
      </c>
      <c r="R8" s="55">
        <f>Leasing!U42</f>
        <v>-665939.63769711484</v>
      </c>
      <c r="S8" s="139"/>
      <c r="T8" s="67">
        <f>Leasing!W42</f>
        <v>-665939.63769711484</v>
      </c>
      <c r="U8" s="67">
        <f>Leasing!X42</f>
        <v>-1665939.6376971148</v>
      </c>
    </row>
    <row r="9" spans="1:23" s="1" customFormat="1" x14ac:dyDescent="0.25">
      <c r="B9" s="69" t="str">
        <f>Leasing!D43</f>
        <v>Costo contrattuale del Leasing</v>
      </c>
      <c r="C9" s="70">
        <f>Leasing!F43</f>
        <v>5.3767404926594153E-2</v>
      </c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</row>
  </sheetData>
  <pageMargins left="0.75" right="0.75" top="1" bottom="1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oglio16">
    <tabColor rgb="FFFFC000"/>
  </sheetPr>
  <dimension ref="B2:F7"/>
  <sheetViews>
    <sheetView showGridLines="0" workbookViewId="0">
      <selection activeCell="B2" sqref="B2:F7"/>
    </sheetView>
  </sheetViews>
  <sheetFormatPr defaultColWidth="9.140625" defaultRowHeight="15" x14ac:dyDescent="0.25"/>
  <cols>
    <col min="1" max="1" width="8.7109375" style="6" customWidth="1"/>
    <col min="2" max="2" width="42.85546875" style="50" bestFit="1" customWidth="1"/>
    <col min="3" max="3" width="9" style="42" bestFit="1" customWidth="1"/>
    <col min="4" max="4" width="8.85546875" style="42" bestFit="1" customWidth="1"/>
    <col min="5" max="5" width="12.28515625" style="42" bestFit="1" customWidth="1"/>
    <col min="6" max="6" width="15.28515625" style="42" bestFit="1" customWidth="1"/>
    <col min="7" max="16384" width="9.140625" style="6"/>
  </cols>
  <sheetData>
    <row r="2" spans="2:6" ht="15.75" thickBot="1" x14ac:dyDescent="0.3">
      <c r="B2" s="72" t="str">
        <f>Leasing!D45</f>
        <v>EFFETTO FISCALE AMMORTAMENTO</v>
      </c>
      <c r="C2" s="77"/>
      <c r="D2" s="77" t="str">
        <f>Leasing!F45</f>
        <v>Terreno</v>
      </c>
      <c r="E2" s="77" t="str">
        <f>Leasing!G45</f>
        <v xml:space="preserve">Imponibile </v>
      </c>
      <c r="F2" s="77" t="str">
        <f>Leasing!H45</f>
        <v>Effetto Fiscale</v>
      </c>
    </row>
    <row r="3" spans="2:6" ht="15.75" thickTop="1" x14ac:dyDescent="0.25">
      <c r="B3" s="50" t="str">
        <f>Leasing!D46</f>
        <v>Canone medio IRES</v>
      </c>
      <c r="C3" s="45"/>
      <c r="D3" s="45"/>
      <c r="E3" s="45">
        <f>Leasing!G46</f>
        <v>677050.74880822597</v>
      </c>
      <c r="F3" s="45">
        <f>Leasing!H46</f>
        <v>162492.17971397421</v>
      </c>
    </row>
    <row r="4" spans="2:6" x14ac:dyDescent="0.25">
      <c r="B4" s="51" t="str">
        <f>Leasing!D47</f>
        <v>Canone medio IRAP</v>
      </c>
      <c r="C4" s="54"/>
      <c r="D4" s="54"/>
      <c r="E4" s="54">
        <f>Leasing!G47</f>
        <v>400000</v>
      </c>
      <c r="F4" s="54">
        <f>Leasing!H47</f>
        <v>15600</v>
      </c>
    </row>
    <row r="5" spans="2:6" x14ac:dyDescent="0.25">
      <c r="B5" s="69" t="str">
        <f>Leasing!D48</f>
        <v>Risparmio fiscale lordo del Leasing</v>
      </c>
      <c r="C5" s="67"/>
      <c r="D5" s="67"/>
      <c r="E5" s="65"/>
      <c r="F5" s="67">
        <f>Leasing!H48</f>
        <v>178092.17971397421</v>
      </c>
    </row>
    <row r="6" spans="2:6" x14ac:dyDescent="0.25">
      <c r="B6" s="76" t="str">
        <f>Leasing!D49</f>
        <v xml:space="preserve">Mancato ammortamento </v>
      </c>
      <c r="C6" s="75">
        <f>Leasing!E49</f>
        <v>300000</v>
      </c>
      <c r="D6" s="75">
        <f>Leasing!F49</f>
        <v>60000</v>
      </c>
      <c r="E6" s="75">
        <f>Leasing!G49</f>
        <v>240000</v>
      </c>
      <c r="F6" s="75">
        <f>Leasing!H49</f>
        <v>-66960</v>
      </c>
    </row>
    <row r="7" spans="2:6" x14ac:dyDescent="0.25">
      <c r="B7" s="56" t="str">
        <f>Leasing!D50</f>
        <v>Risparmio fiscale netto del Leasing</v>
      </c>
      <c r="C7" s="45"/>
      <c r="D7" s="45"/>
      <c r="E7" s="55"/>
      <c r="F7" s="55">
        <f>Leasing!H50</f>
        <v>111132.17971397421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A286A-7952-4019-BC40-2A6707A355BD}">
  <sheetPr>
    <tabColor rgb="FFFF0000"/>
  </sheetPr>
  <dimension ref="A1"/>
  <sheetViews>
    <sheetView showGridLines="0" workbookViewId="0"/>
  </sheetViews>
  <sheetFormatPr defaultRowHeight="12.75" x14ac:dyDescent="0.2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oglio17">
    <tabColor rgb="FFFFC000"/>
  </sheetPr>
  <dimension ref="B2:Y6"/>
  <sheetViews>
    <sheetView showGridLines="0" workbookViewId="0">
      <selection activeCell="B2" sqref="B2:U6"/>
    </sheetView>
  </sheetViews>
  <sheetFormatPr defaultColWidth="9.140625" defaultRowHeight="15" outlineLevelCol="1" x14ac:dyDescent="0.25"/>
  <cols>
    <col min="1" max="1" width="8.7109375" style="6" customWidth="1"/>
    <col min="2" max="2" width="39.5703125" style="50" bestFit="1" customWidth="1"/>
    <col min="3" max="3" width="10.7109375" style="42" bestFit="1" customWidth="1"/>
    <col min="4" max="5" width="9.7109375" style="42" bestFit="1" customWidth="1"/>
    <col min="6" max="17" width="9.7109375" style="42" hidden="1" customWidth="1" outlineLevel="1"/>
    <col min="18" max="18" width="9.7109375" style="42" hidden="1" customWidth="1" outlineLevel="1" collapsed="1"/>
    <col min="19" max="19" width="0.85546875" style="42" customWidth="1" collapsed="1"/>
    <col min="20" max="20" width="9.7109375" style="42" bestFit="1" customWidth="1"/>
    <col min="21" max="21" width="11.42578125" style="42" bestFit="1" customWidth="1"/>
    <col min="22" max="22" width="15" style="6" bestFit="1" customWidth="1"/>
    <col min="23" max="16384" width="9.140625" style="6"/>
  </cols>
  <sheetData>
    <row r="2" spans="2:25" s="9" customFormat="1" ht="15.75" thickBot="1" x14ac:dyDescent="0.3">
      <c r="B2" s="72" t="str">
        <f>Leasing!D52</f>
        <v>FLUSSO LEASING PRE-RISCATTO</v>
      </c>
      <c r="C2" s="73">
        <f>Leasing!F52</f>
        <v>0</v>
      </c>
      <c r="D2" s="73">
        <f>Leasing!G52</f>
        <v>1</v>
      </c>
      <c r="E2" s="73">
        <f>Leasing!H52</f>
        <v>2</v>
      </c>
      <c r="F2" s="73">
        <f>Leasing!I52</f>
        <v>3</v>
      </c>
      <c r="G2" s="73">
        <f>Leasing!J52</f>
        <v>4</v>
      </c>
      <c r="H2" s="73">
        <f>Leasing!K52</f>
        <v>5</v>
      </c>
      <c r="I2" s="73">
        <f>Leasing!L52</f>
        <v>6</v>
      </c>
      <c r="J2" s="73">
        <f>Leasing!M52</f>
        <v>7</v>
      </c>
      <c r="K2" s="73">
        <f>Leasing!N52</f>
        <v>8</v>
      </c>
      <c r="L2" s="73">
        <f>Leasing!O52</f>
        <v>9</v>
      </c>
      <c r="M2" s="73">
        <f>Leasing!P52</f>
        <v>10</v>
      </c>
      <c r="N2" s="73">
        <f>Leasing!Q52</f>
        <v>11</v>
      </c>
      <c r="O2" s="73">
        <f>Leasing!R52</f>
        <v>12</v>
      </c>
      <c r="P2" s="73">
        <f>Leasing!S52</f>
        <v>13</v>
      </c>
      <c r="Q2" s="73">
        <f>Leasing!T52</f>
        <v>14</v>
      </c>
      <c r="R2" s="73">
        <f>Leasing!U52</f>
        <v>15</v>
      </c>
      <c r="S2" s="136"/>
      <c r="T2" s="73">
        <f>Leasing!W52</f>
        <v>17</v>
      </c>
      <c r="U2" s="73">
        <f>Leasing!X52</f>
        <v>18</v>
      </c>
      <c r="V2" s="11"/>
      <c r="W2" s="11"/>
      <c r="X2" s="11"/>
      <c r="Y2" s="11"/>
    </row>
    <row r="3" spans="2:25" ht="15.75" thickTop="1" x14ac:dyDescent="0.25">
      <c r="B3" s="50" t="str">
        <f>Leasing!D53</f>
        <v>Flusso Contrattuale</v>
      </c>
      <c r="C3" s="45">
        <f>Leasing!F53</f>
        <v>7950000</v>
      </c>
      <c r="D3" s="45">
        <f>Leasing!G53</f>
        <v>-665939.63769711484</v>
      </c>
      <c r="E3" s="45">
        <f>Leasing!H53</f>
        <v>-665939.63769711484</v>
      </c>
      <c r="F3" s="45">
        <f>Leasing!I53</f>
        <v>-665939.63769711484</v>
      </c>
      <c r="G3" s="45">
        <f>Leasing!J53</f>
        <v>-665939.63769711484</v>
      </c>
      <c r="H3" s="45">
        <f>Leasing!K53</f>
        <v>-665939.63769711484</v>
      </c>
      <c r="I3" s="45">
        <f>Leasing!L53</f>
        <v>-665939.63769711484</v>
      </c>
      <c r="J3" s="45">
        <f>Leasing!M53</f>
        <v>-665939.63769711484</v>
      </c>
      <c r="K3" s="45">
        <f>Leasing!N53</f>
        <v>-665939.63769711484</v>
      </c>
      <c r="L3" s="45">
        <f>Leasing!O53</f>
        <v>-665939.63769711484</v>
      </c>
      <c r="M3" s="45">
        <f>Leasing!P53</f>
        <v>-665939.63769711484</v>
      </c>
      <c r="N3" s="45">
        <f>Leasing!Q53</f>
        <v>-665939.63769711484</v>
      </c>
      <c r="O3" s="45">
        <f>Leasing!R53</f>
        <v>-665939.63769711484</v>
      </c>
      <c r="P3" s="45">
        <f>Leasing!S53</f>
        <v>-665939.63769711484</v>
      </c>
      <c r="Q3" s="45">
        <f>Leasing!T53</f>
        <v>-665939.63769711484</v>
      </c>
      <c r="R3" s="45">
        <f>Leasing!U53</f>
        <v>-665939.63769711484</v>
      </c>
      <c r="S3" s="137"/>
      <c r="T3" s="45">
        <f>Leasing!W53</f>
        <v>-665939.63769711484</v>
      </c>
      <c r="U3" s="45">
        <f>Leasing!X53</f>
        <v>-1665939.6376971148</v>
      </c>
    </row>
    <row r="4" spans="2:25" x14ac:dyDescent="0.25">
      <c r="B4" s="51" t="str">
        <f>Leasing!D54</f>
        <v>Risparmio Fiscale</v>
      </c>
      <c r="C4" s="54">
        <f>Leasing!F54</f>
        <v>111132.17971397421</v>
      </c>
      <c r="D4" s="54">
        <f>Leasing!G54</f>
        <v>111132.17971397421</v>
      </c>
      <c r="E4" s="54">
        <f>Leasing!H54</f>
        <v>111132.17971397421</v>
      </c>
      <c r="F4" s="54">
        <f>Leasing!I54</f>
        <v>111132.17971397421</v>
      </c>
      <c r="G4" s="54">
        <f>Leasing!J54</f>
        <v>111132.17971397421</v>
      </c>
      <c r="H4" s="54">
        <f>Leasing!K54</f>
        <v>111132.17971397421</v>
      </c>
      <c r="I4" s="54">
        <f>Leasing!L54</f>
        <v>111132.17971397421</v>
      </c>
      <c r="J4" s="54">
        <f>Leasing!M54</f>
        <v>111132.17971397421</v>
      </c>
      <c r="K4" s="54">
        <f>Leasing!N54</f>
        <v>111132.17971397421</v>
      </c>
      <c r="L4" s="54">
        <f>Leasing!O54</f>
        <v>111132.17971397421</v>
      </c>
      <c r="M4" s="54">
        <f>Leasing!P54</f>
        <v>111132.17971397421</v>
      </c>
      <c r="N4" s="54">
        <f>Leasing!Q54</f>
        <v>111132.17971397421</v>
      </c>
      <c r="O4" s="54">
        <f>Leasing!R54</f>
        <v>111132.17971397421</v>
      </c>
      <c r="P4" s="54">
        <f>Leasing!S54</f>
        <v>111132.17971397421</v>
      </c>
      <c r="Q4" s="54">
        <f>Leasing!T54</f>
        <v>111132.17971397421</v>
      </c>
      <c r="R4" s="54">
        <f>Leasing!U54</f>
        <v>111132.17971397421</v>
      </c>
      <c r="S4" s="138"/>
      <c r="T4" s="54">
        <f>Leasing!W54</f>
        <v>111132.17971397421</v>
      </c>
      <c r="U4" s="54">
        <f>Leasing!X54</f>
        <v>111132.17971397421</v>
      </c>
    </row>
    <row r="5" spans="2:25" x14ac:dyDescent="0.25">
      <c r="B5" s="56" t="str">
        <f>Leasing!D55</f>
        <v>Flusso Leasing Fiscale</v>
      </c>
      <c r="C5" s="55">
        <f>Leasing!F55</f>
        <v>8061132.1797139738</v>
      </c>
      <c r="D5" s="55">
        <f>Leasing!G55</f>
        <v>-554807.4579831406</v>
      </c>
      <c r="E5" s="55">
        <f>Leasing!H55</f>
        <v>-554807.4579831406</v>
      </c>
      <c r="F5" s="55">
        <f>Leasing!I55</f>
        <v>-554807.4579831406</v>
      </c>
      <c r="G5" s="55">
        <f>Leasing!J55</f>
        <v>-554807.4579831406</v>
      </c>
      <c r="H5" s="55">
        <f>Leasing!K55</f>
        <v>-554807.4579831406</v>
      </c>
      <c r="I5" s="55">
        <f>Leasing!L55</f>
        <v>-554807.4579831406</v>
      </c>
      <c r="J5" s="55">
        <f>Leasing!M55</f>
        <v>-554807.4579831406</v>
      </c>
      <c r="K5" s="55">
        <f>Leasing!N55</f>
        <v>-554807.4579831406</v>
      </c>
      <c r="L5" s="55">
        <f>Leasing!O55</f>
        <v>-554807.4579831406</v>
      </c>
      <c r="M5" s="55">
        <f>Leasing!P55</f>
        <v>-554807.4579831406</v>
      </c>
      <c r="N5" s="55">
        <f>Leasing!Q55</f>
        <v>-554807.4579831406</v>
      </c>
      <c r="O5" s="55">
        <f>Leasing!R55</f>
        <v>-554807.4579831406</v>
      </c>
      <c r="P5" s="55">
        <f>Leasing!S55</f>
        <v>-554807.4579831406</v>
      </c>
      <c r="Q5" s="55">
        <f>Leasing!T55</f>
        <v>-554807.4579831406</v>
      </c>
      <c r="R5" s="55">
        <f>Leasing!U55</f>
        <v>-554807.4579831406</v>
      </c>
      <c r="S5" s="139"/>
      <c r="T5" s="55">
        <f>Leasing!W55</f>
        <v>-554807.4579831406</v>
      </c>
      <c r="U5" s="55">
        <f>Leasing!X55</f>
        <v>-1554807.4579831406</v>
      </c>
    </row>
    <row r="6" spans="2:25" x14ac:dyDescent="0.25">
      <c r="B6" s="56" t="str">
        <f>Leasing!D56</f>
        <v>Costo del Leasing (pre - CGTL riscatto)</v>
      </c>
      <c r="C6" s="68">
        <f>Leasing!F56</f>
        <v>3.2126630552947066E-2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oglio18">
    <tabColor rgb="FFFFC000"/>
  </sheetPr>
  <dimension ref="B2:D28"/>
  <sheetViews>
    <sheetView showGridLines="0" workbookViewId="0">
      <selection activeCell="B2" sqref="B2:D6"/>
    </sheetView>
  </sheetViews>
  <sheetFormatPr defaultColWidth="9.140625" defaultRowHeight="15" x14ac:dyDescent="0.25"/>
  <cols>
    <col min="1" max="1" width="8.7109375" style="6" customWidth="1"/>
    <col min="2" max="2" width="34.28515625" style="50" bestFit="1" customWidth="1"/>
    <col min="3" max="3" width="12.28515625" style="42" bestFit="1" customWidth="1"/>
    <col min="4" max="4" width="15.28515625" style="42" bestFit="1" customWidth="1"/>
    <col min="5" max="5" width="22.42578125" style="6" bestFit="1" customWidth="1"/>
    <col min="6" max="6" width="15" style="6" bestFit="1" customWidth="1"/>
    <col min="7" max="16384" width="9.140625" style="6"/>
  </cols>
  <sheetData>
    <row r="2" spans="2:4" ht="15" customHeight="1" thickBot="1" x14ac:dyDescent="0.3">
      <c r="B2" s="72"/>
      <c r="C2" s="77" t="str">
        <f>Leasing!F58</f>
        <v xml:space="preserve">Imponibile </v>
      </c>
      <c r="D2" s="77" t="str">
        <f>Leasing!G58</f>
        <v>Effetto Fiscale</v>
      </c>
    </row>
    <row r="3" spans="2:4" ht="15" customHeight="1" thickTop="1" x14ac:dyDescent="0.25">
      <c r="B3" s="50" t="str">
        <f>Leasing!D59</f>
        <v>Valore fiscale del Riscatto</v>
      </c>
      <c r="C3" s="45">
        <f>Leasing!F59</f>
        <v>2800000</v>
      </c>
      <c r="D3" s="45"/>
    </row>
    <row r="4" spans="2:4" ht="15" customHeight="1" x14ac:dyDescent="0.25">
      <c r="B4" s="50" t="str">
        <f>Leasing!D60</f>
        <v>Valore Fiscale con Acquisto iniziale</v>
      </c>
      <c r="C4" s="45">
        <f>Leasing!F60</f>
        <v>5440000</v>
      </c>
      <c r="D4" s="45"/>
    </row>
    <row r="5" spans="2:4" ht="15" customHeight="1" x14ac:dyDescent="0.25">
      <c r="B5" s="51" t="str">
        <f>Leasing!D61</f>
        <v>Differenza</v>
      </c>
      <c r="C5" s="54">
        <f>Leasing!F61</f>
        <v>2640000</v>
      </c>
      <c r="D5" s="54"/>
    </row>
    <row r="6" spans="2:4" ht="15" customHeight="1" x14ac:dyDescent="0.25">
      <c r="B6" s="56" t="str">
        <f>Leasing!D62</f>
        <v>Fiscalità Latente Riscatto</v>
      </c>
      <c r="C6" s="45"/>
      <c r="D6" s="55">
        <f>Leasing!G62</f>
        <v>736559.99999999988</v>
      </c>
    </row>
    <row r="7" spans="2:4" ht="15" customHeight="1" x14ac:dyDescent="0.25"/>
    <row r="8" spans="2:4" ht="15" customHeight="1" x14ac:dyDescent="0.25"/>
    <row r="9" spans="2:4" ht="15" customHeight="1" x14ac:dyDescent="0.25"/>
    <row r="10" spans="2:4" ht="15" customHeight="1" x14ac:dyDescent="0.25"/>
    <row r="11" spans="2:4" ht="15" customHeight="1" x14ac:dyDescent="0.25"/>
    <row r="12" spans="2:4" ht="15" customHeight="1" x14ac:dyDescent="0.25"/>
    <row r="13" spans="2:4" ht="15" customHeight="1" x14ac:dyDescent="0.25"/>
    <row r="14" spans="2:4" ht="15" customHeight="1" x14ac:dyDescent="0.25"/>
    <row r="15" spans="2:4" ht="15" customHeight="1" x14ac:dyDescent="0.25"/>
    <row r="16" spans="2:4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</sheetData>
  <pageMargins left="0.75" right="0.75" top="1" bottom="1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oglio19">
    <tabColor rgb="FFFFC000"/>
  </sheetPr>
  <dimension ref="B2:Y6"/>
  <sheetViews>
    <sheetView showGridLines="0" workbookViewId="0">
      <selection activeCell="U6" sqref="B2:U6"/>
    </sheetView>
  </sheetViews>
  <sheetFormatPr defaultColWidth="9.140625" defaultRowHeight="15" outlineLevelCol="1" x14ac:dyDescent="0.25"/>
  <cols>
    <col min="1" max="1" width="8.7109375" style="6" customWidth="1"/>
    <col min="2" max="2" width="38.5703125" style="50" bestFit="1" customWidth="1"/>
    <col min="3" max="3" width="10.7109375" style="42" bestFit="1" customWidth="1"/>
    <col min="4" max="5" width="9.7109375" style="42" bestFit="1" customWidth="1"/>
    <col min="6" max="17" width="9.7109375" style="42" hidden="1" customWidth="1" outlineLevel="1"/>
    <col min="18" max="18" width="9.7109375" style="42" hidden="1" customWidth="1" outlineLevel="1" collapsed="1"/>
    <col min="19" max="19" width="0.85546875" style="42" customWidth="1" collapsed="1"/>
    <col min="20" max="20" width="9.7109375" style="42" bestFit="1" customWidth="1"/>
    <col min="21" max="21" width="11.42578125" style="42" bestFit="1" customWidth="1"/>
    <col min="22" max="22" width="15" style="6" bestFit="1" customWidth="1"/>
    <col min="23" max="16384" width="9.140625" style="6"/>
  </cols>
  <sheetData>
    <row r="2" spans="2:25" s="9" customFormat="1" ht="15.75" thickBot="1" x14ac:dyDescent="0.3">
      <c r="B2" s="72" t="str">
        <f>Leasing!D64</f>
        <v>FLUSSO LEASING POST-RISCATTO</v>
      </c>
      <c r="C2" s="73">
        <f>Leasing!F64</f>
        <v>0</v>
      </c>
      <c r="D2" s="73">
        <f>Leasing!G64</f>
        <v>1</v>
      </c>
      <c r="E2" s="73">
        <f>Leasing!H64</f>
        <v>2</v>
      </c>
      <c r="F2" s="73">
        <f>Leasing!I64</f>
        <v>3</v>
      </c>
      <c r="G2" s="73">
        <f>Leasing!J64</f>
        <v>4</v>
      </c>
      <c r="H2" s="73">
        <f>Leasing!K64</f>
        <v>5</v>
      </c>
      <c r="I2" s="73">
        <f>Leasing!L64</f>
        <v>6</v>
      </c>
      <c r="J2" s="73">
        <f>Leasing!M64</f>
        <v>7</v>
      </c>
      <c r="K2" s="73">
        <f>Leasing!N64</f>
        <v>8</v>
      </c>
      <c r="L2" s="73">
        <f>Leasing!O64</f>
        <v>9</v>
      </c>
      <c r="M2" s="73">
        <f>Leasing!P64</f>
        <v>10</v>
      </c>
      <c r="N2" s="73">
        <f>Leasing!Q64</f>
        <v>11</v>
      </c>
      <c r="O2" s="73">
        <f>Leasing!R64</f>
        <v>12</v>
      </c>
      <c r="P2" s="73">
        <f>Leasing!S64</f>
        <v>13</v>
      </c>
      <c r="Q2" s="73">
        <f>Leasing!T64</f>
        <v>14</v>
      </c>
      <c r="R2" s="73">
        <f>Leasing!U64</f>
        <v>15</v>
      </c>
      <c r="S2" s="136"/>
      <c r="T2" s="73">
        <f>Leasing!W64</f>
        <v>17</v>
      </c>
      <c r="U2" s="73">
        <f>Leasing!X64</f>
        <v>18</v>
      </c>
      <c r="V2" s="11"/>
      <c r="W2" s="11"/>
      <c r="X2" s="11"/>
      <c r="Y2" s="11"/>
    </row>
    <row r="3" spans="2:25" ht="15.75" thickTop="1" x14ac:dyDescent="0.25">
      <c r="B3" s="50" t="str">
        <f>Leasing!D65</f>
        <v>Flusso Leasing Fiscale</v>
      </c>
      <c r="C3" s="45">
        <f>Leasing!F65</f>
        <v>8061132.1797139738</v>
      </c>
      <c r="D3" s="45">
        <f>Leasing!G65</f>
        <v>-554807.4579831406</v>
      </c>
      <c r="E3" s="45">
        <f>Leasing!H65</f>
        <v>-554807.4579831406</v>
      </c>
      <c r="F3" s="45">
        <f>Leasing!I65</f>
        <v>-554807.4579831406</v>
      </c>
      <c r="G3" s="45">
        <f>Leasing!J65</f>
        <v>-554807.4579831406</v>
      </c>
      <c r="H3" s="45">
        <f>Leasing!K65</f>
        <v>-554807.4579831406</v>
      </c>
      <c r="I3" s="45">
        <f>Leasing!L65</f>
        <v>-554807.4579831406</v>
      </c>
      <c r="J3" s="45">
        <f>Leasing!M65</f>
        <v>-554807.4579831406</v>
      </c>
      <c r="K3" s="45">
        <f>Leasing!N65</f>
        <v>-554807.4579831406</v>
      </c>
      <c r="L3" s="45">
        <f>Leasing!O65</f>
        <v>-554807.4579831406</v>
      </c>
      <c r="M3" s="45">
        <f>Leasing!P65</f>
        <v>-554807.4579831406</v>
      </c>
      <c r="N3" s="45">
        <f>Leasing!Q65</f>
        <v>-554807.4579831406</v>
      </c>
      <c r="O3" s="45">
        <f>Leasing!R65</f>
        <v>-554807.4579831406</v>
      </c>
      <c r="P3" s="45">
        <f>Leasing!S65</f>
        <v>-554807.4579831406</v>
      </c>
      <c r="Q3" s="45">
        <f>Leasing!T65</f>
        <v>-554807.4579831406</v>
      </c>
      <c r="R3" s="45">
        <f>Leasing!U65</f>
        <v>-554807.4579831406</v>
      </c>
      <c r="S3" s="137"/>
      <c r="T3" s="45">
        <f>Leasing!W65</f>
        <v>-554807.4579831406</v>
      </c>
      <c r="U3" s="45">
        <f>Leasing!X65</f>
        <v>-1554807.4579831406</v>
      </c>
    </row>
    <row r="4" spans="2:25" x14ac:dyDescent="0.25">
      <c r="B4" s="51" t="str">
        <f>Leasing!D66</f>
        <v>Fiscalità Latente Riscatto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138"/>
      <c r="T4" s="54"/>
      <c r="U4" s="54">
        <f>Leasing!X66</f>
        <v>-736559.99999999988</v>
      </c>
    </row>
    <row r="5" spans="2:25" x14ac:dyDescent="0.25">
      <c r="B5" s="56" t="str">
        <f>Leasing!D67</f>
        <v>Flusso Leasing Fiscale Netto</v>
      </c>
      <c r="C5" s="55">
        <f>Leasing!F67</f>
        <v>8061132.1797139738</v>
      </c>
      <c r="D5" s="55">
        <f>Leasing!G67</f>
        <v>-554807.4579831406</v>
      </c>
      <c r="E5" s="55">
        <f>Leasing!H67</f>
        <v>-554807.4579831406</v>
      </c>
      <c r="F5" s="55">
        <f>Leasing!I67</f>
        <v>-554807.4579831406</v>
      </c>
      <c r="G5" s="55">
        <f>Leasing!J67</f>
        <v>-554807.4579831406</v>
      </c>
      <c r="H5" s="55">
        <f>Leasing!K67</f>
        <v>-554807.4579831406</v>
      </c>
      <c r="I5" s="55">
        <f>Leasing!L67</f>
        <v>-554807.4579831406</v>
      </c>
      <c r="J5" s="55">
        <f>Leasing!M67</f>
        <v>-554807.4579831406</v>
      </c>
      <c r="K5" s="55">
        <f>Leasing!N67</f>
        <v>-554807.4579831406</v>
      </c>
      <c r="L5" s="55">
        <f>Leasing!O67</f>
        <v>-554807.4579831406</v>
      </c>
      <c r="M5" s="55">
        <f>Leasing!P67</f>
        <v>-554807.4579831406</v>
      </c>
      <c r="N5" s="55">
        <f>Leasing!Q67</f>
        <v>-554807.4579831406</v>
      </c>
      <c r="O5" s="55">
        <f>Leasing!R67</f>
        <v>-554807.4579831406</v>
      </c>
      <c r="P5" s="55">
        <f>Leasing!S67</f>
        <v>-554807.4579831406</v>
      </c>
      <c r="Q5" s="55">
        <f>Leasing!T67</f>
        <v>-554807.4579831406</v>
      </c>
      <c r="R5" s="55">
        <f>Leasing!U67</f>
        <v>-554807.4579831406</v>
      </c>
      <c r="S5" s="139"/>
      <c r="T5" s="55">
        <f>Leasing!W67</f>
        <v>-554807.4579831406</v>
      </c>
      <c r="U5" s="55">
        <f>Leasing!X67</f>
        <v>-2291367.4579831404</v>
      </c>
    </row>
    <row r="6" spans="2:25" x14ac:dyDescent="0.25">
      <c r="B6" s="69" t="str">
        <f>Leasing!D68</f>
        <v xml:space="preserve">Costo Netto del Leasing </v>
      </c>
      <c r="C6" s="70">
        <f>Leasing!F68</f>
        <v>3.7532312670558676E-2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oglio20">
    <tabColor rgb="FFFFC000"/>
  </sheetPr>
  <dimension ref="B1:S8"/>
  <sheetViews>
    <sheetView showGridLines="0" workbookViewId="0">
      <selection activeCell="B2" sqref="B2:C7"/>
    </sheetView>
  </sheetViews>
  <sheetFormatPr defaultColWidth="9.140625" defaultRowHeight="15" outlineLevelCol="1" x14ac:dyDescent="0.25"/>
  <cols>
    <col min="1" max="1" width="8.7109375" style="6" customWidth="1"/>
    <col min="2" max="2" width="23.7109375" style="50" bestFit="1" customWidth="1"/>
    <col min="3" max="3" width="9.42578125" style="42" bestFit="1" customWidth="1"/>
    <col min="4" max="4" width="61.42578125" style="6" bestFit="1" customWidth="1"/>
    <col min="5" max="6" width="22.42578125" style="6" bestFit="1" customWidth="1"/>
    <col min="7" max="7" width="15" style="6" bestFit="1" customWidth="1" outlineLevel="1"/>
    <col min="8" max="8" width="57" style="6" bestFit="1" customWidth="1" outlineLevel="1"/>
    <col min="9" max="18" width="15" style="6" bestFit="1" customWidth="1" outlineLevel="1"/>
    <col min="19" max="19" width="15" style="6" bestFit="1" customWidth="1" outlineLevel="1" collapsed="1"/>
    <col min="20" max="20" width="15" style="6" bestFit="1" customWidth="1"/>
    <col min="21" max="21" width="17.28515625" style="6" bestFit="1" customWidth="1"/>
    <col min="22" max="22" width="15" style="6" bestFit="1" customWidth="1"/>
    <col min="23" max="16384" width="9.140625" style="6"/>
  </cols>
  <sheetData>
    <row r="1" spans="2:3" ht="15.75" thickBot="1" x14ac:dyDescent="0.3">
      <c r="B1" s="111"/>
      <c r="C1" s="81"/>
    </row>
    <row r="2" spans="2:3" ht="15.75" thickTop="1" x14ac:dyDescent="0.25">
      <c r="B2" s="50" t="str">
        <f>Leasing!D71</f>
        <v>Ammontare finanziato</v>
      </c>
      <c r="C2" s="45">
        <f>Leasing!E71</f>
        <v>8000000</v>
      </c>
    </row>
    <row r="3" spans="2:3" x14ac:dyDescent="0.25">
      <c r="B3" s="50" t="str">
        <f>Leasing!D72</f>
        <v>Spese di istruttoria</v>
      </c>
      <c r="C3" s="44">
        <f>Leasing!E72</f>
        <v>5.0000000000000001E-3</v>
      </c>
    </row>
    <row r="4" spans="2:3" x14ac:dyDescent="0.25">
      <c r="B4" s="50" t="str">
        <f>Leasing!D73</f>
        <v>Imposta sostitutiva</v>
      </c>
      <c r="C4" s="44">
        <f>Leasing!E73</f>
        <v>2.5000000000000001E-3</v>
      </c>
    </row>
    <row r="5" spans="2:3" x14ac:dyDescent="0.25">
      <c r="B5" s="50" t="str">
        <f>Leasing!D74</f>
        <v>Durata del contratto (anni)</v>
      </c>
      <c r="C5" s="141">
        <f>Leasing!E74</f>
        <v>18</v>
      </c>
    </row>
    <row r="6" spans="2:3" x14ac:dyDescent="0.25">
      <c r="B6" s="50" t="str">
        <f>Leasing!D75</f>
        <v>Tasso di interesse</v>
      </c>
      <c r="C6" s="44">
        <f>Leasing!E75</f>
        <v>5.2999999999999999E-2</v>
      </c>
    </row>
    <row r="7" spans="2:3" ht="15.75" thickBot="1" x14ac:dyDescent="0.3">
      <c r="B7" s="111" t="str">
        <f>Leasing!D76</f>
        <v>Importo Rata</v>
      </c>
      <c r="C7" s="140">
        <f>Leasing!E76</f>
        <v>700502.44308241701</v>
      </c>
    </row>
    <row r="8" spans="2:3" ht="15.75" thickTop="1" x14ac:dyDescent="0.25"/>
  </sheetData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oglio21">
    <tabColor rgb="FFFFC000"/>
  </sheetPr>
  <dimension ref="B2:U7"/>
  <sheetViews>
    <sheetView showGridLines="0" workbookViewId="0">
      <selection activeCell="T2" sqref="B2:T7"/>
    </sheetView>
  </sheetViews>
  <sheetFormatPr defaultColWidth="9.140625" defaultRowHeight="15" outlineLevelCol="1" x14ac:dyDescent="0.25"/>
  <cols>
    <col min="1" max="1" width="8.7109375" style="6" customWidth="1"/>
    <col min="2" max="2" width="21.7109375" style="50" bestFit="1" customWidth="1"/>
    <col min="3" max="5" width="9.7109375" style="42" bestFit="1" customWidth="1"/>
    <col min="6" max="6" width="9.42578125" style="42" hidden="1" customWidth="1" outlineLevel="1"/>
    <col min="7" max="10" width="9.7109375" style="42" hidden="1" customWidth="1" outlineLevel="1"/>
    <col min="11" max="11" width="9.42578125" style="42" hidden="1" customWidth="1" outlineLevel="1"/>
    <col min="12" max="17" width="9.7109375" style="42" hidden="1" customWidth="1" outlineLevel="1"/>
    <col min="18" max="18" width="9.42578125" style="42" hidden="1" customWidth="1" outlineLevel="1"/>
    <col min="19" max="19" width="0.85546875" style="42" customWidth="1" collapsed="1"/>
    <col min="20" max="20" width="9.42578125" style="42" bestFit="1" customWidth="1"/>
    <col min="21" max="21" width="9.140625" style="42"/>
    <col min="22" max="16384" width="9.140625" style="6"/>
  </cols>
  <sheetData>
    <row r="2" spans="2:20" ht="15.75" thickBot="1" x14ac:dyDescent="0.3">
      <c r="B2" s="72"/>
      <c r="C2" s="73">
        <f>Leasing!G78</f>
        <v>1</v>
      </c>
      <c r="D2" s="73">
        <f>Leasing!H78</f>
        <v>2</v>
      </c>
      <c r="E2" s="73">
        <f>Leasing!I78</f>
        <v>3</v>
      </c>
      <c r="F2" s="73">
        <f>Leasing!J78</f>
        <v>4</v>
      </c>
      <c r="G2" s="73">
        <f>Leasing!K78</f>
        <v>5</v>
      </c>
      <c r="H2" s="73">
        <f>Leasing!L78</f>
        <v>6</v>
      </c>
      <c r="I2" s="73">
        <f>Leasing!M78</f>
        <v>7</v>
      </c>
      <c r="J2" s="73">
        <f>Leasing!N78</f>
        <v>8</v>
      </c>
      <c r="K2" s="73">
        <f>Leasing!O78</f>
        <v>9</v>
      </c>
      <c r="L2" s="73">
        <f>Leasing!P78</f>
        <v>10</v>
      </c>
      <c r="M2" s="73">
        <f>Leasing!Q78</f>
        <v>11</v>
      </c>
      <c r="N2" s="73">
        <f>Leasing!R78</f>
        <v>12</v>
      </c>
      <c r="O2" s="73">
        <f>Leasing!S78</f>
        <v>13</v>
      </c>
      <c r="P2" s="73">
        <f>Leasing!T78</f>
        <v>14</v>
      </c>
      <c r="Q2" s="73">
        <f>Leasing!U78</f>
        <v>15</v>
      </c>
      <c r="R2" s="73">
        <f>Leasing!W78</f>
        <v>17</v>
      </c>
      <c r="S2" s="136"/>
      <c r="T2" s="73">
        <f>Leasing!X78</f>
        <v>18</v>
      </c>
    </row>
    <row r="3" spans="2:20" ht="15.75" thickTop="1" x14ac:dyDescent="0.25">
      <c r="B3" s="50" t="str">
        <f>Leasing!D79</f>
        <v>Debito Iniziale</v>
      </c>
      <c r="C3" s="45">
        <f>Leasing!G79</f>
        <v>8000000</v>
      </c>
      <c r="D3" s="45">
        <f>Leasing!H79</f>
        <v>7723497.5569175826</v>
      </c>
      <c r="E3" s="45">
        <f>Leasing!I79</f>
        <v>7432340.484351797</v>
      </c>
      <c r="F3" s="45">
        <f>Leasing!J79</f>
        <v>7125752.086940025</v>
      </c>
      <c r="G3" s="45">
        <f>Leasing!K79</f>
        <v>6802914.5044654291</v>
      </c>
      <c r="H3" s="45">
        <f>Leasing!L79</f>
        <v>6462966.5301196799</v>
      </c>
      <c r="I3" s="45">
        <f>Leasing!M79</f>
        <v>6105001.3131336058</v>
      </c>
      <c r="J3" s="45">
        <f>Leasing!N79</f>
        <v>5728063.9396472694</v>
      </c>
      <c r="K3" s="45">
        <f>Leasing!O79</f>
        <v>5331148.8853661576</v>
      </c>
      <c r="L3" s="45">
        <f>Leasing!P79</f>
        <v>4913197.3332081474</v>
      </c>
      <c r="M3" s="45">
        <f>Leasing!Q79</f>
        <v>4473094.3487857617</v>
      </c>
      <c r="N3" s="45">
        <f>Leasing!R79</f>
        <v>4009665.90618899</v>
      </c>
      <c r="O3" s="45">
        <f>Leasing!S79</f>
        <v>3521675.7561345892</v>
      </c>
      <c r="P3" s="45">
        <f>Leasing!T79</f>
        <v>3007822.1281273053</v>
      </c>
      <c r="Q3" s="45">
        <f>Leasing!U79</f>
        <v>2466734.2578356354</v>
      </c>
      <c r="R3" s="45">
        <f>Leasing!W79</f>
        <v>1297005.6300482708</v>
      </c>
      <c r="S3" s="137"/>
      <c r="T3" s="45">
        <f>Leasing!X79</f>
        <v>665244.48535841214</v>
      </c>
    </row>
    <row r="4" spans="2:20" x14ac:dyDescent="0.25">
      <c r="B4" s="50" t="str">
        <f>Leasing!D80</f>
        <v>Oneri finanziari</v>
      </c>
      <c r="C4" s="45">
        <f>Leasing!G80</f>
        <v>424000</v>
      </c>
      <c r="D4" s="45">
        <f>Leasing!H80</f>
        <v>409345.37051663187</v>
      </c>
      <c r="E4" s="45">
        <f>Leasing!I80</f>
        <v>393914.04567064525</v>
      </c>
      <c r="F4" s="45">
        <f>Leasing!J80</f>
        <v>377664.86060782132</v>
      </c>
      <c r="G4" s="45">
        <f>Leasing!K80</f>
        <v>360554.46873666771</v>
      </c>
      <c r="H4" s="45">
        <f>Leasing!L80</f>
        <v>342537.22609634302</v>
      </c>
      <c r="I4" s="45">
        <f>Leasing!M80</f>
        <v>323565.0695960811</v>
      </c>
      <c r="J4" s="45">
        <f>Leasing!N80</f>
        <v>303587.38880130526</v>
      </c>
      <c r="K4" s="45">
        <f>Leasing!O80</f>
        <v>282550.89092440635</v>
      </c>
      <c r="L4" s="45">
        <f>Leasing!P80</f>
        <v>260399.45866003181</v>
      </c>
      <c r="M4" s="45">
        <f>Leasing!Q80</f>
        <v>237074.00048564537</v>
      </c>
      <c r="N4" s="45">
        <f>Leasing!R80</f>
        <v>212512.29302801646</v>
      </c>
      <c r="O4" s="45">
        <f>Leasing!S80</f>
        <v>186648.81507513323</v>
      </c>
      <c r="P4" s="45">
        <f>Leasing!T80</f>
        <v>159414.57279074719</v>
      </c>
      <c r="Q4" s="45">
        <f>Leasing!U80</f>
        <v>130736.91566528867</v>
      </c>
      <c r="R4" s="45">
        <f>Leasing!W80</f>
        <v>68741.298392558354</v>
      </c>
      <c r="S4" s="137"/>
      <c r="T4" s="45">
        <f>Leasing!X80</f>
        <v>35257.957723995845</v>
      </c>
    </row>
    <row r="5" spans="2:20" x14ac:dyDescent="0.25">
      <c r="B5" s="50" t="str">
        <f>Leasing!D81</f>
        <v>Rimborso capitale</v>
      </c>
      <c r="C5" s="45">
        <f>Leasing!G81</f>
        <v>276502.44308241701</v>
      </c>
      <c r="D5" s="45">
        <f>Leasing!H81</f>
        <v>291157.07256578514</v>
      </c>
      <c r="E5" s="45">
        <f>Leasing!I81</f>
        <v>306588.39741177176</v>
      </c>
      <c r="F5" s="45">
        <f>Leasing!J81</f>
        <v>322837.58247459569</v>
      </c>
      <c r="G5" s="45">
        <f>Leasing!K81</f>
        <v>339947.9743457493</v>
      </c>
      <c r="H5" s="45">
        <f>Leasing!L81</f>
        <v>357965.216986074</v>
      </c>
      <c r="I5" s="45">
        <f>Leasing!M81</f>
        <v>376937.37348633591</v>
      </c>
      <c r="J5" s="45">
        <f>Leasing!N81</f>
        <v>396915.05428111175</v>
      </c>
      <c r="K5" s="45">
        <f>Leasing!O81</f>
        <v>417951.55215801066</v>
      </c>
      <c r="L5" s="45">
        <f>Leasing!P81</f>
        <v>440102.98442238523</v>
      </c>
      <c r="M5" s="45">
        <f>Leasing!Q81</f>
        <v>463428.44259677164</v>
      </c>
      <c r="N5" s="45">
        <f>Leasing!R81</f>
        <v>487990.15005440055</v>
      </c>
      <c r="O5" s="45">
        <f>Leasing!S81</f>
        <v>513853.62800728378</v>
      </c>
      <c r="P5" s="45">
        <f>Leasing!T81</f>
        <v>541087.87029166985</v>
      </c>
      <c r="Q5" s="45">
        <f>Leasing!U81</f>
        <v>569765.52741712832</v>
      </c>
      <c r="R5" s="45">
        <f>Leasing!W81</f>
        <v>631761.14468985866</v>
      </c>
      <c r="S5" s="137"/>
      <c r="T5" s="45">
        <f>Leasing!X81</f>
        <v>665244.48535842123</v>
      </c>
    </row>
    <row r="6" spans="2:20" x14ac:dyDescent="0.25">
      <c r="B6" s="50" t="str">
        <f>Leasing!D82</f>
        <v>Debito Finale</v>
      </c>
      <c r="C6" s="45">
        <f>Leasing!G82</f>
        <v>7723497.5569175826</v>
      </c>
      <c r="D6" s="45">
        <f>Leasing!H82</f>
        <v>7432340.484351797</v>
      </c>
      <c r="E6" s="45">
        <f>Leasing!I82</f>
        <v>7125752.086940025</v>
      </c>
      <c r="F6" s="45">
        <f>Leasing!J82</f>
        <v>6802914.5044654291</v>
      </c>
      <c r="G6" s="45">
        <f>Leasing!K82</f>
        <v>6462966.5301196799</v>
      </c>
      <c r="H6" s="45">
        <f>Leasing!L82</f>
        <v>6105001.3131336058</v>
      </c>
      <c r="I6" s="45">
        <f>Leasing!M82</f>
        <v>5728063.9396472694</v>
      </c>
      <c r="J6" s="45">
        <f>Leasing!N82</f>
        <v>5331148.8853661576</v>
      </c>
      <c r="K6" s="45">
        <f>Leasing!O82</f>
        <v>4913197.3332081474</v>
      </c>
      <c r="L6" s="45">
        <f>Leasing!P82</f>
        <v>4473094.3487857617</v>
      </c>
      <c r="M6" s="45">
        <f>Leasing!Q82</f>
        <v>4009665.90618899</v>
      </c>
      <c r="N6" s="45">
        <f>Leasing!R82</f>
        <v>3521675.7561345892</v>
      </c>
      <c r="O6" s="45">
        <f>Leasing!S82</f>
        <v>3007822.1281273053</v>
      </c>
      <c r="P6" s="45">
        <f>Leasing!T82</f>
        <v>2466734.2578356354</v>
      </c>
      <c r="Q6" s="45">
        <f>Leasing!U82</f>
        <v>1896968.730418507</v>
      </c>
      <c r="R6" s="45">
        <f>Leasing!W82</f>
        <v>665244.48535841214</v>
      </c>
      <c r="S6" s="137"/>
      <c r="T6" s="45">
        <f>Leasing!X82</f>
        <v>-9.0803951025009155E-9</v>
      </c>
    </row>
    <row r="7" spans="2:20" x14ac:dyDescent="0.25">
      <c r="B7" s="51" t="str">
        <f>Leasing!D83</f>
        <v>Risparmio Fiscale IRES</v>
      </c>
      <c r="C7" s="54">
        <f>Leasing!G83</f>
        <v>101760</v>
      </c>
      <c r="D7" s="54">
        <f>Leasing!H83</f>
        <v>98242.888923991646</v>
      </c>
      <c r="E7" s="54">
        <f>Leasing!I83</f>
        <v>94539.370960954853</v>
      </c>
      <c r="F7" s="54">
        <f>Leasing!J83</f>
        <v>90639.566545877111</v>
      </c>
      <c r="G7" s="54">
        <f>Leasing!K83</f>
        <v>86533.072496800247</v>
      </c>
      <c r="H7" s="54">
        <f>Leasing!L83</f>
        <v>82208.934263122326</v>
      </c>
      <c r="I7" s="54">
        <f>Leasing!M83</f>
        <v>77655.616703059466</v>
      </c>
      <c r="J7" s="54">
        <f>Leasing!N83</f>
        <v>72860.973312313261</v>
      </c>
      <c r="K7" s="54">
        <f>Leasing!O83</f>
        <v>67812.213821857527</v>
      </c>
      <c r="L7" s="54">
        <f>Leasing!P83</f>
        <v>62495.870078407635</v>
      </c>
      <c r="M7" s="54">
        <f>Leasing!Q83</f>
        <v>56897.760116554891</v>
      </c>
      <c r="N7" s="54">
        <f>Leasing!R83</f>
        <v>51002.950326723949</v>
      </c>
      <c r="O7" s="54">
        <f>Leasing!S83</f>
        <v>44795.715618031973</v>
      </c>
      <c r="P7" s="54">
        <f>Leasing!T83</f>
        <v>38259.497469779322</v>
      </c>
      <c r="Q7" s="54">
        <f>Leasing!U83</f>
        <v>31376.859759669282</v>
      </c>
      <c r="R7" s="54">
        <f>Leasing!W83</f>
        <v>16497.911614214005</v>
      </c>
      <c r="S7" s="138"/>
      <c r="T7" s="54">
        <f>Leasing!X83</f>
        <v>8461.9098537590035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oglio22">
    <tabColor rgb="FFFFC000"/>
  </sheetPr>
  <dimension ref="B2:V13"/>
  <sheetViews>
    <sheetView showGridLines="0" workbookViewId="0">
      <selection activeCell="V2" sqref="B2:V11"/>
    </sheetView>
  </sheetViews>
  <sheetFormatPr defaultColWidth="9.140625" defaultRowHeight="15" outlineLevelCol="1" x14ac:dyDescent="0.25"/>
  <cols>
    <col min="1" max="1" width="8.7109375" style="6" customWidth="1"/>
    <col min="2" max="2" width="28.28515625" style="50" bestFit="1" customWidth="1"/>
    <col min="3" max="3" width="9.7109375" style="42" bestFit="1" customWidth="1"/>
    <col min="4" max="4" width="12.140625" style="42" customWidth="1"/>
    <col min="5" max="6" width="11.140625" style="42" bestFit="1" customWidth="1"/>
    <col min="7" max="7" width="11.140625" style="42" customWidth="1"/>
    <col min="8" max="18" width="11.140625" style="42" hidden="1" customWidth="1" outlineLevel="1"/>
    <col min="19" max="19" width="11.140625" style="42" hidden="1" customWidth="1" outlineLevel="1" collapsed="1"/>
    <col min="20" max="20" width="11.140625" style="42" hidden="1" customWidth="1" outlineLevel="1"/>
    <col min="21" max="21" width="0.85546875" style="42" customWidth="1" collapsed="1"/>
    <col min="22" max="22" width="11.140625" style="42" bestFit="1" customWidth="1"/>
    <col min="23" max="23" width="12.140625" style="6" customWidth="1"/>
    <col min="24" max="16384" width="9.140625" style="6"/>
  </cols>
  <sheetData>
    <row r="2" spans="2:22" ht="15.75" thickBot="1" x14ac:dyDescent="0.3">
      <c r="B2" s="72"/>
      <c r="C2" s="81"/>
      <c r="D2" s="81"/>
      <c r="E2" s="73">
        <f>Leasing!G78</f>
        <v>1</v>
      </c>
      <c r="F2" s="73">
        <f>Leasing!H78</f>
        <v>2</v>
      </c>
      <c r="G2" s="73">
        <f>Leasing!I78</f>
        <v>3</v>
      </c>
      <c r="H2" s="73">
        <f>Leasing!J78</f>
        <v>4</v>
      </c>
      <c r="I2" s="73">
        <f>Leasing!K78</f>
        <v>5</v>
      </c>
      <c r="J2" s="73">
        <f>Leasing!L78</f>
        <v>6</v>
      </c>
      <c r="K2" s="73">
        <f>Leasing!M78</f>
        <v>7</v>
      </c>
      <c r="L2" s="73">
        <f>Leasing!N78</f>
        <v>8</v>
      </c>
      <c r="M2" s="73">
        <f>Leasing!O78</f>
        <v>9</v>
      </c>
      <c r="N2" s="73">
        <f>Leasing!P78</f>
        <v>10</v>
      </c>
      <c r="O2" s="73">
        <f>Leasing!Q78</f>
        <v>11</v>
      </c>
      <c r="P2" s="73">
        <f>Leasing!R78</f>
        <v>12</v>
      </c>
      <c r="Q2" s="73">
        <f>Leasing!S78</f>
        <v>13</v>
      </c>
      <c r="R2" s="73">
        <f>Leasing!T78</f>
        <v>14</v>
      </c>
      <c r="S2" s="73">
        <f>Leasing!U78</f>
        <v>15</v>
      </c>
      <c r="T2" s="73">
        <f>Leasing!W78</f>
        <v>17</v>
      </c>
      <c r="U2" s="136"/>
      <c r="V2" s="73">
        <f>Leasing!X78</f>
        <v>18</v>
      </c>
    </row>
    <row r="3" spans="2:22" ht="15.75" thickTop="1" x14ac:dyDescent="0.25">
      <c r="B3" s="50" t="str">
        <f>Leasing!D86</f>
        <v>Erogazione</v>
      </c>
      <c r="D3" s="45">
        <f>Leasing!F86</f>
        <v>8000000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137"/>
      <c r="V3" s="45"/>
    </row>
    <row r="4" spans="2:22" x14ac:dyDescent="0.25">
      <c r="B4" s="50" t="str">
        <f>Leasing!D87</f>
        <v>Imposta sostitutiva</v>
      </c>
      <c r="D4" s="45">
        <f>Leasing!F87</f>
        <v>-20000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137"/>
      <c r="V4" s="45"/>
    </row>
    <row r="5" spans="2:22" x14ac:dyDescent="0.25">
      <c r="B5" s="50" t="str">
        <f>Leasing!D88</f>
        <v>Spese di istruttoria</v>
      </c>
      <c r="D5" s="45">
        <f>Leasing!F88</f>
        <v>-40000</v>
      </c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137"/>
      <c r="V5" s="45"/>
    </row>
    <row r="6" spans="2:22" x14ac:dyDescent="0.25">
      <c r="B6" s="51" t="str">
        <f>Leasing!D89</f>
        <v>Importo Rata</v>
      </c>
      <c r="C6" s="47"/>
      <c r="D6" s="54"/>
      <c r="E6" s="54">
        <f>Leasing!G89</f>
        <v>-700502.44308241701</v>
      </c>
      <c r="F6" s="54">
        <f>Leasing!H89</f>
        <v>-700502.44308241701</v>
      </c>
      <c r="G6" s="54">
        <f>Leasing!I89</f>
        <v>-700502.44308241701</v>
      </c>
      <c r="H6" s="54">
        <f>Leasing!J89</f>
        <v>-700502.44308241701</v>
      </c>
      <c r="I6" s="54">
        <f>Leasing!K89</f>
        <v>-700502.44308241701</v>
      </c>
      <c r="J6" s="54">
        <f>Leasing!L89</f>
        <v>-700502.44308241701</v>
      </c>
      <c r="K6" s="54">
        <f>Leasing!M89</f>
        <v>-700502.44308241701</v>
      </c>
      <c r="L6" s="54">
        <f>Leasing!N89</f>
        <v>-700502.44308241701</v>
      </c>
      <c r="M6" s="54">
        <f>Leasing!O89</f>
        <v>-700502.44308241701</v>
      </c>
      <c r="N6" s="54">
        <f>Leasing!P89</f>
        <v>-700502.44308241701</v>
      </c>
      <c r="O6" s="54">
        <f>Leasing!Q89</f>
        <v>-700502.44308241701</v>
      </c>
      <c r="P6" s="54">
        <f>Leasing!R89</f>
        <v>-700502.44308241701</v>
      </c>
      <c r="Q6" s="54">
        <f>Leasing!S89</f>
        <v>-700502.44308241701</v>
      </c>
      <c r="R6" s="54">
        <f>Leasing!T89</f>
        <v>-700502.44308241701</v>
      </c>
      <c r="S6" s="54">
        <f>Leasing!U89</f>
        <v>-700502.44308241701</v>
      </c>
      <c r="T6" s="54">
        <f>Leasing!W89</f>
        <v>-700502.44308241701</v>
      </c>
      <c r="U6" s="138"/>
      <c r="V6" s="54">
        <f>Leasing!X89</f>
        <v>-700502.44308241713</v>
      </c>
    </row>
    <row r="7" spans="2:22" x14ac:dyDescent="0.25">
      <c r="B7" s="56" t="str">
        <f>Leasing!D90</f>
        <v>Flusso Contrattuale</v>
      </c>
      <c r="C7" s="78"/>
      <c r="D7" s="55">
        <f>Leasing!F90</f>
        <v>7940000</v>
      </c>
      <c r="E7" s="55">
        <f>Leasing!G90</f>
        <v>-700502.44308241701</v>
      </c>
      <c r="F7" s="55">
        <f>Leasing!H90</f>
        <v>-700502.44308241701</v>
      </c>
      <c r="G7" s="55">
        <f>Leasing!I90</f>
        <v>-700502.44308241701</v>
      </c>
      <c r="H7" s="55">
        <f>Leasing!J90</f>
        <v>-700502.44308241701</v>
      </c>
      <c r="I7" s="55">
        <f>Leasing!K90</f>
        <v>-700502.44308241701</v>
      </c>
      <c r="J7" s="55">
        <f>Leasing!L90</f>
        <v>-700502.44308241701</v>
      </c>
      <c r="K7" s="55">
        <f>Leasing!M90</f>
        <v>-700502.44308241701</v>
      </c>
      <c r="L7" s="55">
        <f>Leasing!N90</f>
        <v>-700502.44308241701</v>
      </c>
      <c r="M7" s="55">
        <f>Leasing!O90</f>
        <v>-700502.44308241701</v>
      </c>
      <c r="N7" s="55">
        <f>Leasing!P90</f>
        <v>-700502.44308241701</v>
      </c>
      <c r="O7" s="55">
        <f>Leasing!Q90</f>
        <v>-700502.44308241701</v>
      </c>
      <c r="P7" s="55">
        <f>Leasing!R90</f>
        <v>-700502.44308241701</v>
      </c>
      <c r="Q7" s="55">
        <f>Leasing!S90</f>
        <v>-700502.44308241701</v>
      </c>
      <c r="R7" s="55">
        <f>Leasing!T90</f>
        <v>-700502.44308241701</v>
      </c>
      <c r="S7" s="55">
        <f>Leasing!U90</f>
        <v>-700502.44308241701</v>
      </c>
      <c r="T7" s="55">
        <f>Leasing!W90</f>
        <v>-700502.44308241701</v>
      </c>
      <c r="U7" s="139"/>
      <c r="V7" s="55">
        <f>Leasing!X90</f>
        <v>-700502.44308241713</v>
      </c>
    </row>
    <row r="8" spans="2:22" x14ac:dyDescent="0.25">
      <c r="B8" s="69" t="str">
        <f>Leasing!D91</f>
        <v>TIR Contrattuale</v>
      </c>
      <c r="C8" s="70">
        <f>Leasing!E91</f>
        <v>5.3976998354308359E-2</v>
      </c>
      <c r="D8" s="55"/>
      <c r="E8" s="4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139"/>
      <c r="V8" s="55"/>
    </row>
    <row r="9" spans="2:22" x14ac:dyDescent="0.25">
      <c r="B9" s="76" t="str">
        <f>Leasing!D92</f>
        <v>Risparmio Fiscale IRES</v>
      </c>
      <c r="C9" s="79"/>
      <c r="D9" s="75"/>
      <c r="E9" s="75">
        <f>Leasing!G92</f>
        <v>101760</v>
      </c>
      <c r="F9" s="75">
        <f>Leasing!H92</f>
        <v>98242.888923991646</v>
      </c>
      <c r="G9" s="75">
        <f>Leasing!I92</f>
        <v>94539.370960954853</v>
      </c>
      <c r="H9" s="75">
        <f>Leasing!J92</f>
        <v>90639.566545877111</v>
      </c>
      <c r="I9" s="75">
        <f>Leasing!K92</f>
        <v>86533.072496800247</v>
      </c>
      <c r="J9" s="75">
        <f>Leasing!L92</f>
        <v>82208.934263122326</v>
      </c>
      <c r="K9" s="75">
        <f>Leasing!M92</f>
        <v>77655.616703059466</v>
      </c>
      <c r="L9" s="75">
        <f>Leasing!N92</f>
        <v>72860.973312313261</v>
      </c>
      <c r="M9" s="75">
        <f>Leasing!O92</f>
        <v>67812.213821857527</v>
      </c>
      <c r="N9" s="75">
        <f>Leasing!P92</f>
        <v>62495.870078407635</v>
      </c>
      <c r="O9" s="75">
        <f>Leasing!Q92</f>
        <v>56897.760116554891</v>
      </c>
      <c r="P9" s="75">
        <f>Leasing!R92</f>
        <v>51002.950326723949</v>
      </c>
      <c r="Q9" s="75">
        <f>Leasing!S92</f>
        <v>44795.715618031973</v>
      </c>
      <c r="R9" s="75">
        <f>Leasing!T92</f>
        <v>38259.497469779322</v>
      </c>
      <c r="S9" s="75">
        <f>Leasing!U92</f>
        <v>31376.859759669282</v>
      </c>
      <c r="T9" s="75">
        <f>Leasing!W92</f>
        <v>16497.911614214005</v>
      </c>
      <c r="U9" s="142"/>
      <c r="V9" s="75">
        <f>Leasing!X92</f>
        <v>8461.9098537590035</v>
      </c>
    </row>
    <row r="10" spans="2:22" x14ac:dyDescent="0.25">
      <c r="B10" s="56" t="str">
        <f>Leasing!D93</f>
        <v>Flusso Netto</v>
      </c>
      <c r="D10" s="55">
        <f>Leasing!F93</f>
        <v>7940000</v>
      </c>
      <c r="E10" s="55">
        <f>Leasing!G93</f>
        <v>-598742.44308241701</v>
      </c>
      <c r="F10" s="55">
        <f>Leasing!H93</f>
        <v>-602259.55415842542</v>
      </c>
      <c r="G10" s="55">
        <f>Leasing!I93</f>
        <v>-605963.0721214622</v>
      </c>
      <c r="H10" s="55">
        <f>Leasing!J93</f>
        <v>-609862.87653653987</v>
      </c>
      <c r="I10" s="55">
        <f>Leasing!K93</f>
        <v>-613969.37058561679</v>
      </c>
      <c r="J10" s="55">
        <f>Leasing!L93</f>
        <v>-618293.50881929463</v>
      </c>
      <c r="K10" s="55">
        <f>Leasing!M93</f>
        <v>-622846.8263793576</v>
      </c>
      <c r="L10" s="55">
        <f>Leasing!N93</f>
        <v>-627641.46977010369</v>
      </c>
      <c r="M10" s="55">
        <f>Leasing!O93</f>
        <v>-632690.22926055943</v>
      </c>
      <c r="N10" s="55">
        <f>Leasing!P93</f>
        <v>-638006.57300400943</v>
      </c>
      <c r="O10" s="55">
        <f>Leasing!Q93</f>
        <v>-643604.6829658621</v>
      </c>
      <c r="P10" s="55">
        <f>Leasing!R93</f>
        <v>-649499.49275569303</v>
      </c>
      <c r="Q10" s="55">
        <f>Leasing!S93</f>
        <v>-655706.7274643851</v>
      </c>
      <c r="R10" s="55">
        <f>Leasing!T93</f>
        <v>-662242.94561263768</v>
      </c>
      <c r="S10" s="55">
        <f>Leasing!U93</f>
        <v>-669125.58332274773</v>
      </c>
      <c r="T10" s="55">
        <f>Leasing!W93</f>
        <v>-684004.53146820306</v>
      </c>
      <c r="U10" s="139"/>
      <c r="V10" s="55">
        <f>Leasing!X93</f>
        <v>-692040.53322865814</v>
      </c>
    </row>
    <row r="11" spans="2:22" x14ac:dyDescent="0.25">
      <c r="B11" s="69" t="str">
        <f>Leasing!D94</f>
        <v>Costo netto del Mutuo</v>
      </c>
      <c r="C11" s="70">
        <f>Leasing!E94</f>
        <v>4.1185290673813046E-2</v>
      </c>
    </row>
    <row r="13" spans="2:22" x14ac:dyDescent="0.25">
      <c r="C13" s="80"/>
    </row>
  </sheetData>
  <pageMargins left="0.75" right="0.75" top="1" bottom="1" header="0.5" footer="0.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oglio48">
    <tabColor rgb="FF00B0F0"/>
  </sheetPr>
  <dimension ref="B1:D9"/>
  <sheetViews>
    <sheetView showGridLines="0" workbookViewId="0">
      <selection activeCell="D9" sqref="B2:D9"/>
    </sheetView>
  </sheetViews>
  <sheetFormatPr defaultColWidth="9.140625" defaultRowHeight="15" x14ac:dyDescent="0.25"/>
  <cols>
    <col min="1" max="1" width="9.140625" style="6" customWidth="1"/>
    <col min="2" max="2" width="33" style="50" bestFit="1" customWidth="1"/>
    <col min="3" max="3" width="15.85546875" style="42" bestFit="1" customWidth="1"/>
    <col min="4" max="4" width="15" style="42" bestFit="1" customWidth="1"/>
    <col min="5" max="5" width="13.140625" style="6" bestFit="1" customWidth="1"/>
    <col min="6" max="6" width="15" style="6" bestFit="1" customWidth="1"/>
    <col min="7" max="7" width="5" style="6" customWidth="1"/>
    <col min="8" max="8" width="7.85546875" style="6" customWidth="1"/>
    <col min="9" max="19" width="13.5703125" style="6" customWidth="1"/>
    <col min="20" max="20" width="13.5703125" style="6" bestFit="1" customWidth="1"/>
    <col min="21" max="21" width="14.7109375" style="6" bestFit="1" customWidth="1"/>
    <col min="22" max="16384" width="9.140625" style="6"/>
  </cols>
  <sheetData>
    <row r="1" spans="2:4" ht="15.75" thickBot="1" x14ac:dyDescent="0.3">
      <c r="B1" s="111"/>
      <c r="C1" s="81"/>
    </row>
    <row r="2" spans="2:4" ht="15.75" thickTop="1" x14ac:dyDescent="0.25">
      <c r="B2" s="50" t="s">
        <v>104</v>
      </c>
      <c r="C2" s="45">
        <f>'new slb1'!E2</f>
        <v>10000000</v>
      </c>
      <c r="D2" s="45"/>
    </row>
    <row r="3" spans="2:4" x14ac:dyDescent="0.25">
      <c r="B3" s="82" t="s">
        <v>109</v>
      </c>
      <c r="C3" s="65">
        <f>'new slb1'!E3</f>
        <v>7000000</v>
      </c>
      <c r="D3" s="45"/>
    </row>
    <row r="4" spans="2:4" ht="15.75" thickBot="1" x14ac:dyDescent="0.3">
      <c r="B4" s="143" t="s">
        <v>110</v>
      </c>
      <c r="C4" s="144">
        <f>'new slb2'!E3</f>
        <v>4000000</v>
      </c>
      <c r="D4" s="45"/>
    </row>
    <row r="5" spans="2:4" ht="8.4499999999999993" customHeight="1" thickTop="1" x14ac:dyDescent="0.25">
      <c r="C5" s="45"/>
      <c r="D5" s="45"/>
    </row>
    <row r="6" spans="2:4" ht="15.75" thickBot="1" x14ac:dyDescent="0.3">
      <c r="B6" s="72" t="s">
        <v>111</v>
      </c>
      <c r="C6" s="83" t="s">
        <v>112</v>
      </c>
      <c r="D6" s="83" t="s">
        <v>113</v>
      </c>
    </row>
    <row r="7" spans="2:4" ht="15.75" thickTop="1" x14ac:dyDescent="0.25">
      <c r="B7" s="50" t="s">
        <v>106</v>
      </c>
      <c r="C7" s="45">
        <f>C2-C3</f>
        <v>3000000</v>
      </c>
      <c r="D7" s="45">
        <f>C7*SUM('new slb1'!D14:D15)</f>
        <v>836999.99999999988</v>
      </c>
    </row>
    <row r="8" spans="2:4" x14ac:dyDescent="0.25">
      <c r="B8" s="51" t="s">
        <v>107</v>
      </c>
      <c r="C8" s="54">
        <f>C2-C4</f>
        <v>6000000</v>
      </c>
      <c r="D8" s="54">
        <f>C8*SUM('new slb2'!D14:D15)</f>
        <v>1673999.9999999998</v>
      </c>
    </row>
    <row r="9" spans="2:4" x14ac:dyDescent="0.25">
      <c r="C9" s="45"/>
      <c r="D9" s="55">
        <f>D8-D7</f>
        <v>836999.99999999988</v>
      </c>
    </row>
  </sheetData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oglio49">
    <tabColor rgb="FF00B0F0"/>
  </sheetPr>
  <dimension ref="A2:AG10"/>
  <sheetViews>
    <sheetView showGridLines="0" workbookViewId="0">
      <selection activeCell="E9" sqref="B2:E9"/>
    </sheetView>
  </sheetViews>
  <sheetFormatPr defaultColWidth="9.140625" defaultRowHeight="15" x14ac:dyDescent="0.25"/>
  <cols>
    <col min="1" max="1" width="9.140625" style="6" customWidth="1"/>
    <col min="2" max="2" width="43.5703125" style="50" bestFit="1" customWidth="1"/>
    <col min="3" max="4" width="10.7109375" style="45" bestFit="1" customWidth="1"/>
    <col min="5" max="5" width="10.42578125" style="45" bestFit="1" customWidth="1"/>
    <col min="6" max="6" width="15" style="7" bestFit="1" customWidth="1"/>
    <col min="7" max="7" width="5" style="6" customWidth="1"/>
    <col min="8" max="8" width="7.85546875" style="6" customWidth="1"/>
    <col min="9" max="19" width="13.5703125" style="6" customWidth="1"/>
    <col min="20" max="20" width="13.5703125" style="6" bestFit="1" customWidth="1"/>
    <col min="21" max="21" width="14.7109375" style="6" bestFit="1" customWidth="1"/>
    <col min="22" max="16384" width="9.140625" style="6"/>
  </cols>
  <sheetData>
    <row r="2" spans="1:33" s="9" customFormat="1" ht="15.75" thickBot="1" x14ac:dyDescent="0.3">
      <c r="B2" s="98" t="s">
        <v>75</v>
      </c>
      <c r="C2" s="99" t="s">
        <v>106</v>
      </c>
      <c r="D2" s="99" t="s">
        <v>107</v>
      </c>
      <c r="E2" s="83" t="s">
        <v>92</v>
      </c>
      <c r="F2" s="7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33" ht="15.75" thickTop="1" x14ac:dyDescent="0.25">
      <c r="A3" s="10"/>
      <c r="B3" s="92" t="s">
        <v>76</v>
      </c>
      <c r="C3" s="86">
        <f>'new slb1'!E40</f>
        <v>7950000</v>
      </c>
      <c r="D3" s="86">
        <f>'new slb2'!E40</f>
        <v>7950000</v>
      </c>
      <c r="E3" s="86"/>
    </row>
    <row r="4" spans="1:33" x14ac:dyDescent="0.25">
      <c r="A4" s="10"/>
      <c r="B4" s="93" t="s">
        <v>61</v>
      </c>
      <c r="C4" s="85">
        <f>'new slb1'!E41</f>
        <v>5.3767404926594153E-2</v>
      </c>
      <c r="D4" s="85">
        <f>'new slb2'!E41</f>
        <v>5.3767404926594153E-2</v>
      </c>
      <c r="E4" s="86"/>
    </row>
    <row r="5" spans="1:33" x14ac:dyDescent="0.25">
      <c r="B5" s="94" t="s">
        <v>105</v>
      </c>
      <c r="C5" s="87">
        <f>'new slb1'!E52</f>
        <v>-836999.99999999988</v>
      </c>
      <c r="D5" s="43">
        <f>'new slb2'!E52</f>
        <v>-1673999.9999999998</v>
      </c>
      <c r="E5" s="86"/>
      <c r="F5" s="8"/>
    </row>
    <row r="6" spans="1:33" x14ac:dyDescent="0.25">
      <c r="B6" s="95" t="s">
        <v>86</v>
      </c>
      <c r="C6" s="88">
        <f>'new slb1'!E53</f>
        <v>400000</v>
      </c>
      <c r="D6" s="45">
        <f>'new slb2'!E53</f>
        <v>400000</v>
      </c>
      <c r="F6" s="8"/>
    </row>
    <row r="7" spans="1:33" x14ac:dyDescent="0.25">
      <c r="B7" s="95" t="s">
        <v>87</v>
      </c>
      <c r="C7" s="88">
        <f>'new slb1'!E54</f>
        <v>135120.17971397421</v>
      </c>
      <c r="D7" s="45">
        <f>'new slb2'!E54</f>
        <v>155208.17971397421</v>
      </c>
      <c r="F7" s="8"/>
    </row>
    <row r="8" spans="1:33" x14ac:dyDescent="0.25">
      <c r="B8" s="96" t="s">
        <v>88</v>
      </c>
      <c r="C8" s="89">
        <f>'new slb1'!E55</f>
        <v>7648120.1797139738</v>
      </c>
      <c r="D8" s="90">
        <f>'new slb2'!E55</f>
        <v>6831208.1797139738</v>
      </c>
      <c r="E8" s="84">
        <f>C8-D8</f>
        <v>816912</v>
      </c>
      <c r="F8" s="8"/>
    </row>
    <row r="9" spans="1:33" x14ac:dyDescent="0.25">
      <c r="B9" s="97" t="s">
        <v>62</v>
      </c>
      <c r="C9" s="91">
        <f>'new slb1'!E56</f>
        <v>3.3408170540267346E-2</v>
      </c>
      <c r="D9" s="91">
        <f>'new slb2'!E56</f>
        <v>4.2122666458306979E-2</v>
      </c>
      <c r="E9" s="91">
        <f>C9-D9</f>
        <v>-8.7144959180396331E-3</v>
      </c>
      <c r="F9" s="8"/>
    </row>
    <row r="10" spans="1:33" x14ac:dyDescent="0.25">
      <c r="B10" s="92"/>
      <c r="C10" s="86"/>
      <c r="D10" s="86"/>
    </row>
  </sheetData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oglio50">
    <tabColor rgb="FF00B0F0"/>
  </sheetPr>
  <dimension ref="B1:F8"/>
  <sheetViews>
    <sheetView showGridLines="0" workbookViewId="0">
      <selection activeCell="B2" sqref="B2:F8"/>
    </sheetView>
  </sheetViews>
  <sheetFormatPr defaultColWidth="9.140625" defaultRowHeight="15" x14ac:dyDescent="0.25"/>
  <cols>
    <col min="1" max="1" width="9.140625" style="6" customWidth="1"/>
    <col min="2" max="2" width="34.7109375" style="50" bestFit="1" customWidth="1"/>
    <col min="3" max="3" width="11.5703125" style="45" bestFit="1" customWidth="1"/>
    <col min="4" max="4" width="14.5703125" style="45" bestFit="1" customWidth="1"/>
    <col min="5" max="5" width="11.5703125" style="45" bestFit="1" customWidth="1"/>
    <col min="6" max="6" width="14.5703125" style="45" bestFit="1" customWidth="1"/>
    <col min="7" max="7" width="5" style="6" customWidth="1"/>
    <col min="8" max="8" width="7.85546875" style="6" customWidth="1"/>
    <col min="9" max="19" width="13.5703125" style="6" customWidth="1"/>
    <col min="20" max="20" width="13.5703125" style="6" bestFit="1" customWidth="1"/>
    <col min="21" max="21" width="14.7109375" style="6" bestFit="1" customWidth="1"/>
    <col min="22" max="16384" width="9.140625" style="6"/>
  </cols>
  <sheetData>
    <row r="1" spans="2:6" x14ac:dyDescent="0.25">
      <c r="B1" s="92"/>
      <c r="C1" s="86"/>
      <c r="D1" s="86"/>
    </row>
    <row r="2" spans="2:6" x14ac:dyDescent="0.25">
      <c r="C2" s="358" t="s">
        <v>106</v>
      </c>
      <c r="D2" s="358"/>
      <c r="E2" s="359" t="s">
        <v>107</v>
      </c>
      <c r="F2" s="358"/>
    </row>
    <row r="3" spans="2:6" ht="15.75" thickBot="1" x14ac:dyDescent="0.3">
      <c r="B3" s="72" t="s">
        <v>144</v>
      </c>
      <c r="C3" s="83" t="s">
        <v>79</v>
      </c>
      <c r="D3" s="83" t="s">
        <v>80</v>
      </c>
      <c r="E3" s="100" t="s">
        <v>79</v>
      </c>
      <c r="F3" s="83" t="s">
        <v>80</v>
      </c>
    </row>
    <row r="4" spans="2:6" ht="15.75" thickTop="1" x14ac:dyDescent="0.25">
      <c r="B4" s="50" t="s">
        <v>81</v>
      </c>
      <c r="C4" s="45">
        <f>'new slb1'!F44</f>
        <v>677050.74880822597</v>
      </c>
      <c r="D4" s="45">
        <f>'new slb1'!G44</f>
        <v>162492.17971397421</v>
      </c>
      <c r="E4" s="101">
        <f>'new slb2'!F44</f>
        <v>677050.74880822597</v>
      </c>
      <c r="F4" s="45">
        <f>'new slb2'!G44</f>
        <v>162492.17971397421</v>
      </c>
    </row>
    <row r="5" spans="2:6" x14ac:dyDescent="0.25">
      <c r="B5" s="51" t="s">
        <v>82</v>
      </c>
      <c r="C5" s="54">
        <f>'new slb1'!F45</f>
        <v>500000</v>
      </c>
      <c r="D5" s="54">
        <f>'new slb1'!G45</f>
        <v>19500</v>
      </c>
      <c r="E5" s="102">
        <f>'new slb2'!F45</f>
        <v>500000</v>
      </c>
      <c r="F5" s="54">
        <f>'new slb2'!G45</f>
        <v>19500</v>
      </c>
    </row>
    <row r="6" spans="2:6" x14ac:dyDescent="0.25">
      <c r="B6" s="106" t="s">
        <v>83</v>
      </c>
      <c r="C6" s="64"/>
      <c r="D6" s="64"/>
      <c r="E6" s="103"/>
      <c r="F6" s="104"/>
    </row>
    <row r="7" spans="2:6" x14ac:dyDescent="0.25">
      <c r="B7" s="51" t="s">
        <v>103</v>
      </c>
      <c r="C7" s="54">
        <f>'new slb1'!F47</f>
        <v>168000</v>
      </c>
      <c r="D7" s="54">
        <f>'new slb1'!G47</f>
        <v>-46871.999999999993</v>
      </c>
      <c r="E7" s="102">
        <f>'new slb2'!F47</f>
        <v>96000</v>
      </c>
      <c r="F7" s="54">
        <f>'new slb2'!G47</f>
        <v>-26783.999999999996</v>
      </c>
    </row>
    <row r="8" spans="2:6" x14ac:dyDescent="0.25">
      <c r="B8" s="56" t="s">
        <v>84</v>
      </c>
      <c r="C8" s="55"/>
      <c r="D8" s="55">
        <f>SUM(D4:D7)</f>
        <v>135120.17971397421</v>
      </c>
      <c r="E8" s="105"/>
      <c r="F8" s="55">
        <f>SUM(F4:F7)</f>
        <v>155208.17971397421</v>
      </c>
    </row>
  </sheetData>
  <mergeCells count="2">
    <mergeCell ref="C2:D2"/>
    <mergeCell ref="E2:F2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oglio52">
    <tabColor rgb="FF00B0F0"/>
  </sheetPr>
  <dimension ref="B2:F7"/>
  <sheetViews>
    <sheetView showGridLines="0" workbookViewId="0">
      <selection activeCell="J43" sqref="J43"/>
    </sheetView>
  </sheetViews>
  <sheetFormatPr defaultColWidth="9.140625" defaultRowHeight="15" x14ac:dyDescent="0.25"/>
  <cols>
    <col min="1" max="1" width="9.140625" style="6" customWidth="1"/>
    <col min="2" max="2" width="36.7109375" style="50" bestFit="1" customWidth="1"/>
    <col min="3" max="3" width="12" style="45" bestFit="1" customWidth="1"/>
    <col min="4" max="4" width="14.5703125" style="45" bestFit="1" customWidth="1"/>
    <col min="5" max="5" width="12" style="45" bestFit="1" customWidth="1"/>
    <col min="6" max="6" width="14.5703125" style="45" bestFit="1" customWidth="1"/>
    <col min="7" max="7" width="5" style="6" customWidth="1"/>
    <col min="8" max="8" width="7.85546875" style="6" customWidth="1"/>
    <col min="9" max="19" width="13.5703125" style="6" customWidth="1"/>
    <col min="20" max="20" width="13.5703125" style="6" bestFit="1" customWidth="1"/>
    <col min="21" max="21" width="14.7109375" style="6" bestFit="1" customWidth="1"/>
    <col min="22" max="16384" width="9.140625" style="6"/>
  </cols>
  <sheetData>
    <row r="2" spans="2:6" x14ac:dyDescent="0.25">
      <c r="C2" s="360" t="s">
        <v>106</v>
      </c>
      <c r="D2" s="360"/>
      <c r="E2" s="361" t="s">
        <v>107</v>
      </c>
      <c r="F2" s="360"/>
    </row>
    <row r="3" spans="2:6" ht="15.75" thickBot="1" x14ac:dyDescent="0.3">
      <c r="B3" s="72" t="s">
        <v>89</v>
      </c>
      <c r="C3" s="83" t="s">
        <v>79</v>
      </c>
      <c r="D3" s="83" t="s">
        <v>80</v>
      </c>
      <c r="E3" s="100" t="s">
        <v>79</v>
      </c>
      <c r="F3" s="83" t="s">
        <v>80</v>
      </c>
    </row>
    <row r="4" spans="2:6" ht="15.75" thickTop="1" x14ac:dyDescent="0.25">
      <c r="B4" s="50" t="s">
        <v>127</v>
      </c>
      <c r="C4" s="45">
        <f>'new slb1'!E59</f>
        <v>4600000</v>
      </c>
      <c r="E4" s="101">
        <f>'new slb2'!E59</f>
        <v>4600000</v>
      </c>
    </row>
    <row r="5" spans="2:6" x14ac:dyDescent="0.25">
      <c r="B5" s="51" t="s">
        <v>128</v>
      </c>
      <c r="C5" s="54">
        <f>'new slb1'!E60</f>
        <v>3010000</v>
      </c>
      <c r="D5" s="54"/>
      <c r="E5" s="102">
        <f>'new slb2'!E60</f>
        <v>1720000</v>
      </c>
      <c r="F5" s="54"/>
    </row>
    <row r="6" spans="2:6" x14ac:dyDescent="0.25">
      <c r="B6" s="110" t="s">
        <v>92</v>
      </c>
      <c r="C6" s="107">
        <f>C5-C4</f>
        <v>-1590000</v>
      </c>
      <c r="D6" s="107"/>
      <c r="E6" s="108">
        <f>E5-E4</f>
        <v>-2880000</v>
      </c>
      <c r="F6" s="109"/>
    </row>
    <row r="7" spans="2:6" x14ac:dyDescent="0.25">
      <c r="B7" s="56" t="s">
        <v>93</v>
      </c>
      <c r="C7" s="55"/>
      <c r="D7" s="55">
        <f>'new slb1'!F62</f>
        <v>-443609.99999999994</v>
      </c>
      <c r="E7" s="105"/>
      <c r="F7" s="55">
        <f>'new slb2'!F62</f>
        <v>-803519.99999999988</v>
      </c>
    </row>
  </sheetData>
  <mergeCells count="2">
    <mergeCell ref="C2:D2"/>
    <mergeCell ref="E2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Foglio10">
    <tabColor rgb="FFFFC000"/>
  </sheetPr>
  <dimension ref="C1:AB96"/>
  <sheetViews>
    <sheetView showGridLines="0" zoomScale="70" zoomScaleNormal="70" workbookViewId="0">
      <selection activeCell="D10" sqref="D10"/>
    </sheetView>
  </sheetViews>
  <sheetFormatPr defaultColWidth="9.28515625" defaultRowHeight="15" x14ac:dyDescent="0.25"/>
  <cols>
    <col min="1" max="2" width="9.28515625" style="192"/>
    <col min="3" max="3" width="6.42578125" style="192" bestFit="1" customWidth="1"/>
    <col min="4" max="4" width="59.7109375" style="192" bestFit="1" customWidth="1"/>
    <col min="5" max="5" width="24.85546875" style="195" bestFit="1" customWidth="1"/>
    <col min="6" max="6" width="29.28515625" style="195" bestFit="1" customWidth="1"/>
    <col min="7" max="8" width="18.5703125" style="195" bestFit="1" customWidth="1"/>
    <col min="9" max="20" width="12.42578125" style="195" bestFit="1" customWidth="1"/>
    <col min="21" max="21" width="12.42578125" style="195" bestFit="1" customWidth="1" collapsed="1"/>
    <col min="22" max="23" width="12.42578125" style="195" bestFit="1" customWidth="1"/>
    <col min="24" max="24" width="14.42578125" style="195" bestFit="1" customWidth="1"/>
    <col min="25" max="25" width="12.42578125" style="195" bestFit="1" customWidth="1"/>
    <col min="26" max="27" width="9.28515625" style="195"/>
    <col min="28" max="16384" width="9.28515625" style="192"/>
  </cols>
  <sheetData>
    <row r="1" spans="3:23" x14ac:dyDescent="0.25">
      <c r="C1" s="152"/>
    </row>
    <row r="2" spans="3:23" x14ac:dyDescent="0.25">
      <c r="C2" s="152"/>
      <c r="E2" s="159"/>
    </row>
    <row r="3" spans="3:23" x14ac:dyDescent="0.25">
      <c r="C3" s="152"/>
      <c r="E3" s="159"/>
    </row>
    <row r="4" spans="3:23" x14ac:dyDescent="0.25">
      <c r="C4" s="152"/>
      <c r="D4" s="152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</row>
    <row r="5" spans="3:23" ht="15.75" thickBot="1" x14ac:dyDescent="0.3">
      <c r="C5" s="346" t="s">
        <v>147</v>
      </c>
      <c r="D5" s="151" t="s">
        <v>60</v>
      </c>
      <c r="E5" s="194"/>
      <c r="F5" s="194"/>
      <c r="H5" s="196"/>
      <c r="J5" s="264"/>
      <c r="K5" s="264"/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</row>
    <row r="6" spans="3:23" ht="15.75" thickTop="1" x14ac:dyDescent="0.25">
      <c r="C6" s="346"/>
      <c r="D6" s="152" t="s">
        <v>114</v>
      </c>
      <c r="F6" s="198">
        <v>10000000</v>
      </c>
      <c r="H6" s="196"/>
      <c r="J6" s="264"/>
      <c r="K6" s="264"/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</row>
    <row r="7" spans="3:23" x14ac:dyDescent="0.25">
      <c r="C7" s="346"/>
      <c r="D7" s="152"/>
      <c r="F7" s="198"/>
      <c r="H7" s="196"/>
      <c r="J7" s="264"/>
      <c r="K7" s="264"/>
      <c r="L7" s="264"/>
      <c r="M7" s="264"/>
      <c r="N7" s="264"/>
      <c r="O7" s="264"/>
      <c r="P7" s="264"/>
      <c r="Q7" s="264"/>
      <c r="R7" s="264"/>
      <c r="S7" s="264"/>
      <c r="T7" s="264"/>
      <c r="U7" s="264"/>
      <c r="V7" s="264"/>
      <c r="W7" s="264"/>
    </row>
    <row r="8" spans="3:23" x14ac:dyDescent="0.25">
      <c r="C8" s="346"/>
      <c r="D8" s="152" t="s">
        <v>115</v>
      </c>
      <c r="E8" s="199">
        <v>5.0000000000000001E-3</v>
      </c>
      <c r="F8" s="198">
        <f>F6*E8</f>
        <v>50000</v>
      </c>
      <c r="H8" s="200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</row>
    <row r="9" spans="3:23" x14ac:dyDescent="0.25">
      <c r="C9" s="346"/>
      <c r="D9" s="152" t="s">
        <v>116</v>
      </c>
      <c r="E9" s="199">
        <v>0.2</v>
      </c>
      <c r="F9" s="198">
        <f>E9*F6</f>
        <v>2000000</v>
      </c>
      <c r="H9" s="200"/>
      <c r="J9" s="26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</row>
    <row r="10" spans="3:23" x14ac:dyDescent="0.25">
      <c r="C10" s="346"/>
      <c r="D10" s="152" t="s">
        <v>170</v>
      </c>
      <c r="E10" s="201">
        <v>18</v>
      </c>
      <c r="F10" s="198"/>
      <c r="H10" s="200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  <c r="W10" s="264"/>
    </row>
    <row r="11" spans="3:23" x14ac:dyDescent="0.25">
      <c r="C11" s="346"/>
      <c r="D11" s="152" t="s">
        <v>117</v>
      </c>
      <c r="E11" s="199">
        <v>5.2999999999999999E-2</v>
      </c>
      <c r="F11" s="198"/>
      <c r="H11" s="202"/>
      <c r="J11" s="264"/>
      <c r="K11" s="264"/>
      <c r="L11" s="264"/>
      <c r="M11" s="264"/>
      <c r="N11" s="264"/>
      <c r="O11" s="264"/>
      <c r="P11" s="264"/>
      <c r="Q11" s="264"/>
      <c r="R11" s="264"/>
      <c r="S11" s="264"/>
      <c r="T11" s="264"/>
      <c r="U11" s="264"/>
      <c r="V11" s="264"/>
      <c r="W11" s="264"/>
    </row>
    <row r="12" spans="3:23" x14ac:dyDescent="0.25">
      <c r="C12" s="346"/>
      <c r="D12" s="152" t="s">
        <v>118</v>
      </c>
      <c r="E12" s="199">
        <v>0.1</v>
      </c>
      <c r="F12" s="198">
        <f>F6*E12</f>
        <v>1000000</v>
      </c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</row>
    <row r="13" spans="3:23" x14ac:dyDescent="0.25">
      <c r="C13" s="346"/>
      <c r="D13" s="152" t="s">
        <v>119</v>
      </c>
      <c r="E13" s="199">
        <v>0.03</v>
      </c>
      <c r="F13" s="198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</row>
    <row r="14" spans="3:23" x14ac:dyDescent="0.25">
      <c r="C14" s="346"/>
      <c r="D14" s="152" t="s">
        <v>120</v>
      </c>
      <c r="E14" s="199">
        <v>0.2</v>
      </c>
      <c r="F14" s="198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</row>
    <row r="15" spans="3:23" x14ac:dyDescent="0.25">
      <c r="C15" s="346"/>
      <c r="D15" s="152" t="s">
        <v>122</v>
      </c>
      <c r="E15" s="204">
        <v>0.04</v>
      </c>
      <c r="F15" s="198"/>
      <c r="J15" s="264"/>
      <c r="K15" s="264"/>
      <c r="L15" s="264"/>
      <c r="M15" s="264"/>
      <c r="N15" s="264"/>
      <c r="O15" s="264"/>
      <c r="P15" s="264"/>
      <c r="Q15" s="264"/>
      <c r="R15" s="264"/>
      <c r="S15" s="264"/>
      <c r="T15" s="264"/>
      <c r="U15" s="264"/>
      <c r="V15" s="264"/>
      <c r="W15" s="264"/>
    </row>
    <row r="16" spans="3:23" x14ac:dyDescent="0.25">
      <c r="C16" s="344"/>
      <c r="D16" s="192" t="s">
        <v>123</v>
      </c>
      <c r="E16" s="199">
        <v>0.24</v>
      </c>
      <c r="F16" s="198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</row>
    <row r="17" spans="3:27" x14ac:dyDescent="0.25">
      <c r="C17" s="346"/>
      <c r="D17" s="192" t="s">
        <v>124</v>
      </c>
      <c r="E17" s="199">
        <v>3.9E-2</v>
      </c>
      <c r="F17" s="198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  <c r="W17" s="264"/>
    </row>
    <row r="18" spans="3:27" x14ac:dyDescent="0.25">
      <c r="C18" s="152"/>
      <c r="E18" s="159"/>
      <c r="J18" s="264"/>
      <c r="K18" s="264"/>
      <c r="L18" s="264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</row>
    <row r="19" spans="3:27" ht="15.75" thickBot="1" x14ac:dyDescent="0.3">
      <c r="C19" s="346" t="s">
        <v>148</v>
      </c>
      <c r="D19" s="193" t="s">
        <v>63</v>
      </c>
      <c r="E19" s="190"/>
      <c r="F19" s="194"/>
      <c r="G19" s="264"/>
      <c r="H19" s="264"/>
      <c r="J19" s="26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  <c r="W19" s="264"/>
    </row>
    <row r="20" spans="3:27" ht="30.75" thickTop="1" x14ac:dyDescent="0.25">
      <c r="C20" s="346"/>
      <c r="D20" s="192" t="s">
        <v>125</v>
      </c>
      <c r="E20" s="153">
        <f>(F6-F9-F12)</f>
        <v>7000000</v>
      </c>
      <c r="F20" s="265" t="s">
        <v>65</v>
      </c>
      <c r="G20" s="264"/>
      <c r="H20" s="264"/>
      <c r="J20" s="264"/>
      <c r="K20" s="264"/>
      <c r="L20" s="264"/>
      <c r="M20" s="264"/>
      <c r="N20" s="264"/>
      <c r="O20" s="264"/>
      <c r="P20" s="264"/>
      <c r="Q20" s="264"/>
      <c r="R20" s="264"/>
      <c r="S20" s="264"/>
      <c r="T20" s="264"/>
      <c r="U20" s="264"/>
      <c r="V20" s="264"/>
      <c r="W20" s="264"/>
    </row>
    <row r="21" spans="3:27" x14ac:dyDescent="0.25">
      <c r="C21" s="346"/>
      <c r="D21" s="192" t="s">
        <v>126</v>
      </c>
      <c r="E21" s="153">
        <f>F12</f>
        <v>1000000</v>
      </c>
      <c r="F21" s="265" t="s">
        <v>68</v>
      </c>
      <c r="G21" s="264"/>
      <c r="H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</row>
    <row r="22" spans="3:27" ht="30" x14ac:dyDescent="0.25">
      <c r="C22" s="346"/>
      <c r="D22" s="192" t="s">
        <v>69</v>
      </c>
      <c r="E22" s="153">
        <f>-PMT(E11,E10,E20)</f>
        <v>612939.63769711484</v>
      </c>
      <c r="F22" s="265" t="s">
        <v>70</v>
      </c>
      <c r="G22" s="264"/>
      <c r="H22" s="264"/>
      <c r="J22" s="264"/>
      <c r="K22" s="264"/>
      <c r="L22" s="264"/>
      <c r="M22" s="264"/>
      <c r="N22" s="264"/>
      <c r="O22" s="264"/>
      <c r="P22" s="264"/>
      <c r="Q22" s="264"/>
      <c r="R22" s="264"/>
      <c r="S22" s="264"/>
      <c r="T22" s="264"/>
      <c r="U22" s="264"/>
      <c r="V22" s="264"/>
      <c r="W22" s="264"/>
    </row>
    <row r="23" spans="3:27" x14ac:dyDescent="0.25">
      <c r="C23" s="344"/>
      <c r="D23" s="206" t="s">
        <v>71</v>
      </c>
      <c r="E23" s="207">
        <f>E21*$E$11</f>
        <v>53000</v>
      </c>
      <c r="F23" s="266" t="s">
        <v>132</v>
      </c>
      <c r="G23" s="264"/>
      <c r="H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</row>
    <row r="24" spans="3:27" x14ac:dyDescent="0.25">
      <c r="C24" s="346"/>
      <c r="D24" s="208" t="s">
        <v>54</v>
      </c>
      <c r="E24" s="209">
        <f>SUM(E22:E23)</f>
        <v>665939.63769711484</v>
      </c>
      <c r="F24" s="195" t="s">
        <v>74</v>
      </c>
      <c r="G24" s="264"/>
      <c r="H24" s="264"/>
      <c r="J24" s="264"/>
      <c r="K24" s="264"/>
      <c r="L24" s="264"/>
      <c r="M24" s="264"/>
      <c r="N24" s="264"/>
      <c r="O24" s="264"/>
      <c r="P24" s="264"/>
      <c r="Q24" s="264"/>
      <c r="R24" s="264"/>
      <c r="S24" s="264"/>
      <c r="T24" s="264"/>
      <c r="U24" s="264"/>
      <c r="V24" s="264"/>
      <c r="W24" s="264"/>
    </row>
    <row r="25" spans="3:27" x14ac:dyDescent="0.25">
      <c r="C25" s="152"/>
      <c r="D25" s="208"/>
      <c r="E25" s="210"/>
      <c r="J25" s="264"/>
      <c r="K25" s="264"/>
      <c r="L25" s="264"/>
      <c r="M25" s="264"/>
      <c r="N25" s="264"/>
      <c r="O25" s="264"/>
      <c r="P25" s="264"/>
      <c r="Q25" s="264"/>
      <c r="R25" s="264"/>
      <c r="S25" s="264"/>
      <c r="T25" s="264"/>
      <c r="U25" s="264"/>
      <c r="V25" s="264"/>
      <c r="W25" s="264"/>
    </row>
    <row r="26" spans="3:27" s="211" customFormat="1" x14ac:dyDescent="0.25">
      <c r="C26" s="347" t="s">
        <v>149</v>
      </c>
      <c r="D26" s="160" t="s">
        <v>28</v>
      </c>
      <c r="E26" s="212"/>
      <c r="F26" s="213">
        <f>F9+E10*E24</f>
        <v>13986913.478548067</v>
      </c>
      <c r="G26" s="214"/>
      <c r="H26" s="198"/>
      <c r="I26" s="198"/>
      <c r="J26" s="267"/>
      <c r="K26" s="267"/>
      <c r="L26" s="267"/>
      <c r="M26" s="267"/>
      <c r="N26" s="267"/>
      <c r="O26" s="267"/>
      <c r="P26" s="267"/>
      <c r="Q26" s="267"/>
      <c r="R26" s="267"/>
      <c r="S26" s="267"/>
      <c r="T26" s="267"/>
      <c r="U26" s="267"/>
      <c r="V26" s="267"/>
      <c r="W26" s="267"/>
      <c r="X26" s="198"/>
      <c r="Y26" s="216"/>
      <c r="Z26" s="216"/>
      <c r="AA26" s="216"/>
    </row>
    <row r="27" spans="3:27" s="211" customFormat="1" x14ac:dyDescent="0.25">
      <c r="C27" s="347"/>
      <c r="D27" s="161" t="s">
        <v>24</v>
      </c>
      <c r="E27" s="216"/>
      <c r="F27" s="201">
        <f>F6-F12</f>
        <v>9000000</v>
      </c>
      <c r="G27" s="198"/>
      <c r="H27" s="198"/>
      <c r="I27" s="198"/>
      <c r="J27" s="267"/>
      <c r="K27" s="267"/>
      <c r="L27" s="267"/>
      <c r="M27" s="267"/>
      <c r="N27" s="267"/>
      <c r="O27" s="267"/>
      <c r="P27" s="267"/>
      <c r="Q27" s="267"/>
      <c r="R27" s="267"/>
      <c r="S27" s="267"/>
      <c r="T27" s="267"/>
      <c r="U27" s="267"/>
      <c r="V27" s="267"/>
      <c r="W27" s="267"/>
      <c r="X27" s="198"/>
      <c r="Y27" s="216"/>
      <c r="Z27" s="216"/>
      <c r="AA27" s="216"/>
    </row>
    <row r="28" spans="3:27" s="211" customFormat="1" x14ac:dyDescent="0.25">
      <c r="C28" s="348"/>
      <c r="E28" s="217" t="s">
        <v>44</v>
      </c>
      <c r="F28" s="218">
        <f>F27*E14</f>
        <v>1800000</v>
      </c>
      <c r="G28" s="198"/>
      <c r="H28" s="198"/>
      <c r="I28" s="198"/>
      <c r="J28" s="267"/>
      <c r="K28" s="267"/>
      <c r="L28" s="267"/>
      <c r="M28" s="267"/>
      <c r="N28" s="267"/>
      <c r="O28" s="267"/>
      <c r="P28" s="267"/>
      <c r="Q28" s="267"/>
      <c r="R28" s="267"/>
      <c r="S28" s="267"/>
      <c r="T28" s="267"/>
      <c r="U28" s="267"/>
      <c r="V28" s="267"/>
      <c r="W28" s="267"/>
      <c r="X28" s="198"/>
      <c r="Y28" s="216"/>
      <c r="Z28" s="216"/>
      <c r="AA28" s="216"/>
    </row>
    <row r="29" spans="3:27" s="211" customFormat="1" x14ac:dyDescent="0.25">
      <c r="C29" s="348"/>
      <c r="E29" s="217" t="s">
        <v>43</v>
      </c>
      <c r="F29" s="218">
        <f>F27-F28</f>
        <v>7200000</v>
      </c>
      <c r="G29" s="198"/>
      <c r="H29" s="198"/>
      <c r="I29" s="198"/>
      <c r="J29" s="267"/>
      <c r="K29" s="267"/>
      <c r="L29" s="267"/>
      <c r="M29" s="267"/>
      <c r="N29" s="267"/>
      <c r="O29" s="267"/>
      <c r="P29" s="267"/>
      <c r="Q29" s="267"/>
      <c r="R29" s="267"/>
      <c r="S29" s="267"/>
      <c r="T29" s="267"/>
      <c r="U29" s="267"/>
      <c r="V29" s="267"/>
      <c r="W29" s="267"/>
      <c r="X29" s="198"/>
      <c r="Y29" s="216"/>
      <c r="Z29" s="216"/>
      <c r="AA29" s="216"/>
    </row>
    <row r="30" spans="3:27" s="211" customFormat="1" x14ac:dyDescent="0.25">
      <c r="C30" s="348"/>
      <c r="D30" s="211" t="s">
        <v>25</v>
      </c>
      <c r="E30" s="216"/>
      <c r="F30" s="201">
        <f>F26-F27</f>
        <v>4986913.4785480667</v>
      </c>
      <c r="G30" s="198"/>
      <c r="H30" s="198"/>
      <c r="I30" s="198"/>
      <c r="J30" s="267"/>
      <c r="K30" s="267"/>
      <c r="L30" s="267"/>
      <c r="M30" s="267"/>
      <c r="N30" s="267"/>
      <c r="O30" s="267"/>
      <c r="P30" s="267"/>
      <c r="Q30" s="267"/>
      <c r="R30" s="267"/>
      <c r="S30" s="267"/>
      <c r="T30" s="267"/>
      <c r="U30" s="267"/>
      <c r="V30" s="267"/>
      <c r="W30" s="267"/>
      <c r="X30" s="198"/>
      <c r="Y30" s="216"/>
      <c r="Z30" s="216"/>
      <c r="AA30" s="216"/>
    </row>
    <row r="31" spans="3:27" s="211" customFormat="1" x14ac:dyDescent="0.25">
      <c r="C31" s="348"/>
      <c r="D31" s="219" t="s">
        <v>41</v>
      </c>
      <c r="E31" s="220"/>
      <c r="F31" s="221">
        <f>F29+F30</f>
        <v>12186913.478548067</v>
      </c>
      <c r="G31" s="198"/>
      <c r="H31" s="198"/>
      <c r="I31" s="198"/>
      <c r="J31" s="267"/>
      <c r="K31" s="267"/>
      <c r="L31" s="267"/>
      <c r="M31" s="267"/>
      <c r="N31" s="267"/>
      <c r="O31" s="267"/>
      <c r="P31" s="267"/>
      <c r="Q31" s="267"/>
      <c r="R31" s="267"/>
      <c r="S31" s="267"/>
      <c r="T31" s="267"/>
      <c r="U31" s="267"/>
      <c r="V31" s="267"/>
      <c r="W31" s="267"/>
      <c r="X31" s="198"/>
      <c r="Y31" s="216"/>
      <c r="Z31" s="216"/>
      <c r="AA31" s="216"/>
    </row>
    <row r="32" spans="3:27" s="211" customFormat="1" x14ac:dyDescent="0.25">
      <c r="C32" s="348"/>
      <c r="D32" s="222" t="s">
        <v>34</v>
      </c>
      <c r="E32" s="223"/>
      <c r="F32" s="224">
        <f>F31/(E10)</f>
        <v>677050.74880822597</v>
      </c>
      <c r="G32" s="198"/>
      <c r="H32" s="198"/>
      <c r="I32" s="198"/>
      <c r="J32" s="267"/>
      <c r="K32" s="267"/>
      <c r="L32" s="267"/>
      <c r="M32" s="267"/>
      <c r="N32" s="267"/>
      <c r="O32" s="267"/>
      <c r="P32" s="267"/>
      <c r="Q32" s="267"/>
      <c r="R32" s="267"/>
      <c r="S32" s="267"/>
      <c r="T32" s="267"/>
      <c r="U32" s="267"/>
      <c r="V32" s="267"/>
      <c r="W32" s="267"/>
      <c r="X32" s="198"/>
      <c r="Y32" s="216"/>
      <c r="Z32" s="216"/>
      <c r="AA32" s="216"/>
    </row>
    <row r="33" spans="3:28" s="211" customFormat="1" x14ac:dyDescent="0.25">
      <c r="C33" s="347"/>
      <c r="D33" s="225" t="s">
        <v>39</v>
      </c>
      <c r="E33" s="226"/>
      <c r="F33" s="227">
        <f>F29/(E10)</f>
        <v>400000</v>
      </c>
      <c r="G33" s="228"/>
      <c r="H33" s="198"/>
      <c r="I33" s="198"/>
      <c r="J33" s="267"/>
      <c r="K33" s="267"/>
      <c r="L33" s="267"/>
      <c r="M33" s="267"/>
      <c r="N33" s="267"/>
      <c r="O33" s="267"/>
      <c r="P33" s="267"/>
      <c r="Q33" s="267"/>
      <c r="R33" s="267"/>
      <c r="S33" s="267"/>
      <c r="T33" s="267"/>
      <c r="U33" s="267"/>
      <c r="V33" s="267"/>
      <c r="W33" s="267"/>
      <c r="X33" s="198"/>
      <c r="Y33" s="216"/>
      <c r="Z33" s="216"/>
      <c r="AA33" s="216"/>
    </row>
    <row r="34" spans="3:28" s="211" customFormat="1" x14ac:dyDescent="0.25">
      <c r="C34" s="348"/>
      <c r="D34" s="222" t="s">
        <v>42</v>
      </c>
      <c r="E34" s="191"/>
      <c r="F34" s="224">
        <f>F28+F12</f>
        <v>2800000</v>
      </c>
      <c r="G34" s="198"/>
      <c r="H34" s="198"/>
      <c r="I34" s="198"/>
      <c r="J34" s="267"/>
      <c r="K34" s="267"/>
      <c r="L34" s="267"/>
      <c r="M34" s="267"/>
      <c r="N34" s="267"/>
      <c r="O34" s="267"/>
      <c r="P34" s="267"/>
      <c r="Q34" s="267"/>
      <c r="R34" s="267"/>
      <c r="S34" s="267"/>
      <c r="T34" s="267"/>
      <c r="U34" s="267"/>
      <c r="V34" s="267"/>
      <c r="W34" s="267"/>
      <c r="X34" s="198"/>
      <c r="Y34" s="216"/>
      <c r="Z34" s="216"/>
      <c r="AA34" s="216"/>
    </row>
    <row r="35" spans="3:28" x14ac:dyDescent="0.25">
      <c r="C35" s="152"/>
      <c r="F35" s="198"/>
      <c r="G35" s="198"/>
      <c r="H35" s="198"/>
      <c r="I35" s="198"/>
      <c r="J35" s="198"/>
      <c r="K35" s="198"/>
      <c r="L35" s="198"/>
      <c r="M35" s="198"/>
      <c r="N35" s="198"/>
      <c r="O35" s="198"/>
      <c r="P35" s="198"/>
      <c r="Q35" s="198"/>
      <c r="R35" s="198"/>
      <c r="S35" s="198"/>
      <c r="T35" s="198"/>
      <c r="U35" s="198"/>
      <c r="V35" s="198"/>
      <c r="W35" s="198"/>
      <c r="X35" s="198"/>
      <c r="Y35" s="216"/>
      <c r="Z35" s="216"/>
    </row>
    <row r="36" spans="3:28" s="229" customFormat="1" ht="15.75" thickBot="1" x14ac:dyDescent="0.3">
      <c r="C36" s="349" t="s">
        <v>150</v>
      </c>
      <c r="D36" s="268" t="s">
        <v>75</v>
      </c>
      <c r="E36" s="230"/>
      <c r="F36" s="231">
        <v>0</v>
      </c>
      <c r="G36" s="231">
        <f>F36+1</f>
        <v>1</v>
      </c>
      <c r="H36" s="231">
        <f t="shared" ref="H36:U36" si="0">G36+1</f>
        <v>2</v>
      </c>
      <c r="I36" s="231">
        <f t="shared" si="0"/>
        <v>3</v>
      </c>
      <c r="J36" s="231">
        <f t="shared" si="0"/>
        <v>4</v>
      </c>
      <c r="K36" s="231">
        <f t="shared" si="0"/>
        <v>5</v>
      </c>
      <c r="L36" s="231">
        <f t="shared" si="0"/>
        <v>6</v>
      </c>
      <c r="M36" s="231">
        <f t="shared" si="0"/>
        <v>7</v>
      </c>
      <c r="N36" s="231">
        <f t="shared" si="0"/>
        <v>8</v>
      </c>
      <c r="O36" s="231">
        <f t="shared" si="0"/>
        <v>9</v>
      </c>
      <c r="P36" s="231">
        <f t="shared" si="0"/>
        <v>10</v>
      </c>
      <c r="Q36" s="231">
        <f t="shared" si="0"/>
        <v>11</v>
      </c>
      <c r="R36" s="231">
        <f t="shared" si="0"/>
        <v>12</v>
      </c>
      <c r="S36" s="231">
        <f t="shared" si="0"/>
        <v>13</v>
      </c>
      <c r="T36" s="231">
        <f t="shared" si="0"/>
        <v>14</v>
      </c>
      <c r="U36" s="231">
        <f t="shared" si="0"/>
        <v>15</v>
      </c>
      <c r="V36" s="231">
        <f t="shared" ref="V36" si="1">U36+1</f>
        <v>16</v>
      </c>
      <c r="W36" s="231">
        <f t="shared" ref="W36" si="2">V36+1</f>
        <v>17</v>
      </c>
      <c r="X36" s="231">
        <f t="shared" ref="X36" si="3">W36+1</f>
        <v>18</v>
      </c>
      <c r="Y36" s="216"/>
      <c r="Z36" s="216"/>
      <c r="AA36" s="269"/>
      <c r="AB36" s="232"/>
    </row>
    <row r="37" spans="3:28" ht="15.75" thickTop="1" x14ac:dyDescent="0.25">
      <c r="C37" s="345"/>
      <c r="D37" s="192" t="s">
        <v>133</v>
      </c>
      <c r="F37" s="198">
        <f>F6</f>
        <v>10000000</v>
      </c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216"/>
      <c r="Z37" s="216"/>
    </row>
    <row r="38" spans="3:28" x14ac:dyDescent="0.25">
      <c r="C38" s="345"/>
      <c r="D38" s="192" t="s">
        <v>115</v>
      </c>
      <c r="F38" s="198">
        <f>-F8</f>
        <v>-50000</v>
      </c>
      <c r="G38" s="198"/>
      <c r="H38" s="198"/>
      <c r="I38" s="198"/>
      <c r="J38" s="198"/>
      <c r="K38" s="198"/>
      <c r="L38" s="198"/>
      <c r="M38" s="198"/>
      <c r="N38" s="198"/>
      <c r="O38" s="198"/>
      <c r="P38" s="198"/>
      <c r="Q38" s="198"/>
      <c r="R38" s="198"/>
      <c r="S38" s="198"/>
      <c r="T38" s="198"/>
      <c r="U38" s="198"/>
      <c r="V38" s="198"/>
      <c r="W38" s="198"/>
      <c r="X38" s="198"/>
      <c r="Y38" s="216"/>
      <c r="Z38" s="216"/>
    </row>
    <row r="39" spans="3:28" x14ac:dyDescent="0.25">
      <c r="C39" s="345"/>
      <c r="D39" s="192" t="s">
        <v>116</v>
      </c>
      <c r="F39" s="198">
        <f>-F9</f>
        <v>-2000000</v>
      </c>
      <c r="G39" s="198"/>
      <c r="H39" s="198"/>
      <c r="I39" s="198"/>
      <c r="J39" s="198"/>
      <c r="K39" s="198"/>
      <c r="L39" s="198"/>
      <c r="M39" s="198"/>
      <c r="N39" s="198"/>
      <c r="O39" s="198"/>
      <c r="P39" s="198"/>
      <c r="Q39" s="198"/>
      <c r="R39" s="198"/>
      <c r="S39" s="198"/>
      <c r="T39" s="198"/>
      <c r="U39" s="198"/>
      <c r="V39" s="198"/>
      <c r="W39" s="198"/>
      <c r="X39" s="198"/>
      <c r="Y39" s="216"/>
      <c r="Z39" s="216"/>
    </row>
    <row r="40" spans="3:28" x14ac:dyDescent="0.25">
      <c r="C40" s="345"/>
      <c r="D40" s="192" t="s">
        <v>134</v>
      </c>
      <c r="F40" s="198"/>
      <c r="G40" s="198">
        <f t="shared" ref="G40:X40" si="4">-$E$24</f>
        <v>-665939.63769711484</v>
      </c>
      <c r="H40" s="198">
        <f t="shared" si="4"/>
        <v>-665939.63769711484</v>
      </c>
      <c r="I40" s="198">
        <f t="shared" si="4"/>
        <v>-665939.63769711484</v>
      </c>
      <c r="J40" s="198">
        <f t="shared" si="4"/>
        <v>-665939.63769711484</v>
      </c>
      <c r="K40" s="198">
        <f t="shared" si="4"/>
        <v>-665939.63769711484</v>
      </c>
      <c r="L40" s="198">
        <f t="shared" si="4"/>
        <v>-665939.63769711484</v>
      </c>
      <c r="M40" s="198">
        <f t="shared" si="4"/>
        <v>-665939.63769711484</v>
      </c>
      <c r="N40" s="198">
        <f t="shared" si="4"/>
        <v>-665939.63769711484</v>
      </c>
      <c r="O40" s="198">
        <f t="shared" si="4"/>
        <v>-665939.63769711484</v>
      </c>
      <c r="P40" s="198">
        <f t="shared" si="4"/>
        <v>-665939.63769711484</v>
      </c>
      <c r="Q40" s="198">
        <f t="shared" si="4"/>
        <v>-665939.63769711484</v>
      </c>
      <c r="R40" s="198">
        <f t="shared" si="4"/>
        <v>-665939.63769711484</v>
      </c>
      <c r="S40" s="198">
        <f t="shared" si="4"/>
        <v>-665939.63769711484</v>
      </c>
      <c r="T40" s="198">
        <f t="shared" si="4"/>
        <v>-665939.63769711484</v>
      </c>
      <c r="U40" s="198">
        <f t="shared" si="4"/>
        <v>-665939.63769711484</v>
      </c>
      <c r="V40" s="198">
        <f t="shared" si="4"/>
        <v>-665939.63769711484</v>
      </c>
      <c r="W40" s="198">
        <f t="shared" si="4"/>
        <v>-665939.63769711484</v>
      </c>
      <c r="X40" s="198">
        <f t="shared" si="4"/>
        <v>-665939.63769711484</v>
      </c>
      <c r="Y40" s="216"/>
      <c r="Z40" s="216"/>
    </row>
    <row r="41" spans="3:28" x14ac:dyDescent="0.25">
      <c r="C41" s="345"/>
      <c r="D41" s="206" t="s">
        <v>2</v>
      </c>
      <c r="E41" s="233"/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>
        <f>-F12</f>
        <v>-1000000</v>
      </c>
      <c r="Y41" s="216"/>
      <c r="Z41" s="216"/>
    </row>
    <row r="42" spans="3:28" x14ac:dyDescent="0.25">
      <c r="C42" s="349"/>
      <c r="D42" s="208" t="s">
        <v>76</v>
      </c>
      <c r="F42" s="209">
        <f t="shared" ref="F42:X42" si="5">SUM(F37:F41)</f>
        <v>7950000</v>
      </c>
      <c r="G42" s="209">
        <f t="shared" si="5"/>
        <v>-665939.63769711484</v>
      </c>
      <c r="H42" s="209">
        <f t="shared" si="5"/>
        <v>-665939.63769711484</v>
      </c>
      <c r="I42" s="209">
        <f t="shared" si="5"/>
        <v>-665939.63769711484</v>
      </c>
      <c r="J42" s="209">
        <f t="shared" si="5"/>
        <v>-665939.63769711484</v>
      </c>
      <c r="K42" s="209">
        <f t="shared" si="5"/>
        <v>-665939.63769711484</v>
      </c>
      <c r="L42" s="209">
        <f t="shared" si="5"/>
        <v>-665939.63769711484</v>
      </c>
      <c r="M42" s="209">
        <f t="shared" si="5"/>
        <v>-665939.63769711484</v>
      </c>
      <c r="N42" s="209">
        <f t="shared" si="5"/>
        <v>-665939.63769711484</v>
      </c>
      <c r="O42" s="209">
        <f t="shared" si="5"/>
        <v>-665939.63769711484</v>
      </c>
      <c r="P42" s="209">
        <f t="shared" si="5"/>
        <v>-665939.63769711484</v>
      </c>
      <c r="Q42" s="209">
        <f t="shared" si="5"/>
        <v>-665939.63769711484</v>
      </c>
      <c r="R42" s="209">
        <f t="shared" si="5"/>
        <v>-665939.63769711484</v>
      </c>
      <c r="S42" s="209">
        <f t="shared" si="5"/>
        <v>-665939.63769711484</v>
      </c>
      <c r="T42" s="209">
        <f t="shared" si="5"/>
        <v>-665939.63769711484</v>
      </c>
      <c r="U42" s="209">
        <f t="shared" si="5"/>
        <v>-665939.63769711484</v>
      </c>
      <c r="V42" s="209">
        <f t="shared" si="5"/>
        <v>-665939.63769711484</v>
      </c>
      <c r="W42" s="209">
        <f t="shared" si="5"/>
        <v>-665939.63769711484</v>
      </c>
      <c r="X42" s="209">
        <f t="shared" si="5"/>
        <v>-1665939.6376971148</v>
      </c>
      <c r="Y42" s="216"/>
      <c r="Z42" s="216"/>
    </row>
    <row r="43" spans="3:28" x14ac:dyDescent="0.25">
      <c r="C43" s="345"/>
      <c r="D43" s="234" t="s">
        <v>61</v>
      </c>
      <c r="E43" s="280"/>
      <c r="F43" s="236">
        <f>IRR(F42:X42)</f>
        <v>5.3767404926594153E-2</v>
      </c>
      <c r="G43" s="159"/>
      <c r="Y43" s="216"/>
      <c r="Z43" s="216"/>
    </row>
    <row r="44" spans="3:28" x14ac:dyDescent="0.25">
      <c r="C44" s="152"/>
      <c r="Y44" s="216"/>
      <c r="Z44" s="216"/>
    </row>
    <row r="45" spans="3:28" ht="15.75" thickBot="1" x14ac:dyDescent="0.3">
      <c r="C45" s="348" t="s">
        <v>151</v>
      </c>
      <c r="D45" s="268" t="s">
        <v>77</v>
      </c>
      <c r="E45" s="237"/>
      <c r="F45" s="237" t="s">
        <v>78</v>
      </c>
      <c r="G45" s="237" t="s">
        <v>79</v>
      </c>
      <c r="H45" s="237" t="s">
        <v>80</v>
      </c>
      <c r="Y45" s="216"/>
      <c r="Z45" s="216"/>
    </row>
    <row r="46" spans="3:28" ht="15.75" thickTop="1" x14ac:dyDescent="0.25">
      <c r="C46" s="348"/>
      <c r="D46" s="192" t="s">
        <v>135</v>
      </c>
      <c r="E46" s="198"/>
      <c r="F46" s="198"/>
      <c r="G46" s="198">
        <f>F32</f>
        <v>677050.74880822597</v>
      </c>
      <c r="H46" s="198">
        <f>G46*E16</f>
        <v>162492.17971397421</v>
      </c>
      <c r="I46" s="198"/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216"/>
      <c r="Z46" s="216"/>
    </row>
    <row r="47" spans="3:28" x14ac:dyDescent="0.25">
      <c r="C47" s="348"/>
      <c r="D47" s="206" t="s">
        <v>1</v>
      </c>
      <c r="E47" s="207"/>
      <c r="F47" s="207"/>
      <c r="G47" s="207">
        <f>F33</f>
        <v>400000</v>
      </c>
      <c r="H47" s="207">
        <f>G47*E17</f>
        <v>15600</v>
      </c>
      <c r="I47" s="198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216"/>
      <c r="Z47" s="216"/>
    </row>
    <row r="48" spans="3:28" x14ac:dyDescent="0.25">
      <c r="C48" s="348"/>
      <c r="D48" s="234" t="s">
        <v>83</v>
      </c>
      <c r="E48" s="214"/>
      <c r="F48" s="214"/>
      <c r="G48" s="238"/>
      <c r="H48" s="214">
        <f>SUM(H46:H47)</f>
        <v>178092.17971397421</v>
      </c>
      <c r="I48" s="198"/>
      <c r="J48" s="198"/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  <c r="X48" s="198"/>
      <c r="Y48" s="216"/>
      <c r="Z48" s="216"/>
    </row>
    <row r="49" spans="3:28" x14ac:dyDescent="0.25">
      <c r="C49" s="347"/>
      <c r="D49" s="239" t="s">
        <v>136</v>
      </c>
      <c r="E49" s="240">
        <f>E13*F6</f>
        <v>300000</v>
      </c>
      <c r="F49" s="240">
        <f>E49*$E$14</f>
        <v>60000</v>
      </c>
      <c r="G49" s="240">
        <f>E49-F49</f>
        <v>240000</v>
      </c>
      <c r="H49" s="240">
        <f>-G49*(E16+E17)</f>
        <v>-66960</v>
      </c>
      <c r="I49" s="198"/>
      <c r="J49" s="198"/>
      <c r="K49" s="198"/>
      <c r="L49" s="198"/>
      <c r="M49" s="198"/>
      <c r="N49" s="198"/>
      <c r="O49" s="198"/>
      <c r="P49" s="198"/>
      <c r="Q49" s="198"/>
      <c r="R49" s="198"/>
      <c r="S49" s="198"/>
      <c r="T49" s="198"/>
      <c r="U49" s="198"/>
      <c r="V49" s="198"/>
      <c r="W49" s="198"/>
      <c r="X49" s="198"/>
      <c r="Y49" s="216"/>
      <c r="Z49" s="216"/>
    </row>
    <row r="50" spans="3:28" x14ac:dyDescent="0.25">
      <c r="C50" s="348"/>
      <c r="D50" s="208" t="s">
        <v>84</v>
      </c>
      <c r="E50" s="153"/>
      <c r="F50" s="198"/>
      <c r="G50" s="209"/>
      <c r="H50" s="209">
        <f>H48+H49</f>
        <v>111132.17971397421</v>
      </c>
      <c r="I50" s="198"/>
      <c r="J50" s="198"/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216"/>
      <c r="Z50" s="216"/>
    </row>
    <row r="51" spans="3:28" x14ac:dyDescent="0.25"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8"/>
      <c r="R51" s="198"/>
      <c r="S51" s="198"/>
      <c r="T51" s="198"/>
      <c r="U51" s="198"/>
      <c r="V51" s="198"/>
      <c r="W51" s="198"/>
      <c r="X51" s="198"/>
      <c r="Y51" s="216"/>
      <c r="Z51" s="216"/>
    </row>
    <row r="52" spans="3:28" s="229" customFormat="1" x14ac:dyDescent="0.25">
      <c r="C52" s="345" t="s">
        <v>152</v>
      </c>
      <c r="D52" s="208" t="s">
        <v>85</v>
      </c>
      <c r="E52" s="241"/>
      <c r="F52" s="242">
        <v>0</v>
      </c>
      <c r="G52" s="242">
        <f>F52+1</f>
        <v>1</v>
      </c>
      <c r="H52" s="242">
        <f t="shared" ref="H52:U52" si="6">G52+1</f>
        <v>2</v>
      </c>
      <c r="I52" s="242">
        <f t="shared" si="6"/>
        <v>3</v>
      </c>
      <c r="J52" s="242">
        <f t="shared" si="6"/>
        <v>4</v>
      </c>
      <c r="K52" s="242">
        <f t="shared" si="6"/>
        <v>5</v>
      </c>
      <c r="L52" s="242">
        <f t="shared" si="6"/>
        <v>6</v>
      </c>
      <c r="M52" s="242">
        <f t="shared" si="6"/>
        <v>7</v>
      </c>
      <c r="N52" s="242">
        <f t="shared" si="6"/>
        <v>8</v>
      </c>
      <c r="O52" s="242">
        <f t="shared" si="6"/>
        <v>9</v>
      </c>
      <c r="P52" s="242">
        <f t="shared" si="6"/>
        <v>10</v>
      </c>
      <c r="Q52" s="242">
        <f t="shared" si="6"/>
        <v>11</v>
      </c>
      <c r="R52" s="242">
        <f t="shared" si="6"/>
        <v>12</v>
      </c>
      <c r="S52" s="242">
        <f t="shared" si="6"/>
        <v>13</v>
      </c>
      <c r="T52" s="242">
        <f t="shared" si="6"/>
        <v>14</v>
      </c>
      <c r="U52" s="242">
        <f t="shared" si="6"/>
        <v>15</v>
      </c>
      <c r="V52" s="242">
        <f t="shared" ref="V52" si="7">U52+1</f>
        <v>16</v>
      </c>
      <c r="W52" s="242">
        <f t="shared" ref="W52" si="8">V52+1</f>
        <v>17</v>
      </c>
      <c r="X52" s="242">
        <f t="shared" ref="X52" si="9">W52+1</f>
        <v>18</v>
      </c>
      <c r="Y52" s="216"/>
      <c r="Z52" s="216"/>
      <c r="AA52" s="269"/>
      <c r="AB52" s="232"/>
    </row>
    <row r="53" spans="3:28" x14ac:dyDescent="0.25">
      <c r="C53" s="345"/>
      <c r="D53" s="203" t="str">
        <f>D42</f>
        <v>Flusso Contrattuale</v>
      </c>
      <c r="E53" s="205"/>
      <c r="F53" s="205">
        <f>F42</f>
        <v>7950000</v>
      </c>
      <c r="G53" s="205">
        <f>G42</f>
        <v>-665939.63769711484</v>
      </c>
      <c r="H53" s="205">
        <f t="shared" ref="H53:U53" si="10">H42</f>
        <v>-665939.63769711484</v>
      </c>
      <c r="I53" s="205">
        <f t="shared" si="10"/>
        <v>-665939.63769711484</v>
      </c>
      <c r="J53" s="205">
        <f t="shared" si="10"/>
        <v>-665939.63769711484</v>
      </c>
      <c r="K53" s="205">
        <f t="shared" si="10"/>
        <v>-665939.63769711484</v>
      </c>
      <c r="L53" s="205">
        <f t="shared" si="10"/>
        <v>-665939.63769711484</v>
      </c>
      <c r="M53" s="205">
        <f t="shared" si="10"/>
        <v>-665939.63769711484</v>
      </c>
      <c r="N53" s="205">
        <f t="shared" si="10"/>
        <v>-665939.63769711484</v>
      </c>
      <c r="O53" s="205">
        <f t="shared" si="10"/>
        <v>-665939.63769711484</v>
      </c>
      <c r="P53" s="205">
        <f>P42</f>
        <v>-665939.63769711484</v>
      </c>
      <c r="Q53" s="205">
        <f>Q42</f>
        <v>-665939.63769711484</v>
      </c>
      <c r="R53" s="205">
        <f>R42</f>
        <v>-665939.63769711484</v>
      </c>
      <c r="S53" s="205">
        <f t="shared" si="10"/>
        <v>-665939.63769711484</v>
      </c>
      <c r="T53" s="205">
        <f t="shared" si="10"/>
        <v>-665939.63769711484</v>
      </c>
      <c r="U53" s="205">
        <f t="shared" si="10"/>
        <v>-665939.63769711484</v>
      </c>
      <c r="V53" s="205">
        <f t="shared" ref="V53:X53" si="11">V42</f>
        <v>-665939.63769711484</v>
      </c>
      <c r="W53" s="205">
        <f t="shared" si="11"/>
        <v>-665939.63769711484</v>
      </c>
      <c r="X53" s="205">
        <f t="shared" si="11"/>
        <v>-1665939.6376971148</v>
      </c>
      <c r="Y53" s="216"/>
      <c r="Z53" s="216"/>
    </row>
    <row r="54" spans="3:28" x14ac:dyDescent="0.25">
      <c r="C54" s="345"/>
      <c r="D54" s="206" t="s">
        <v>87</v>
      </c>
      <c r="E54" s="207"/>
      <c r="F54" s="207">
        <f t="shared" ref="F54:X54" si="12">$H$50</f>
        <v>111132.17971397421</v>
      </c>
      <c r="G54" s="207">
        <f t="shared" si="12"/>
        <v>111132.17971397421</v>
      </c>
      <c r="H54" s="207">
        <f t="shared" si="12"/>
        <v>111132.17971397421</v>
      </c>
      <c r="I54" s="207">
        <f t="shared" si="12"/>
        <v>111132.17971397421</v>
      </c>
      <c r="J54" s="207">
        <f t="shared" si="12"/>
        <v>111132.17971397421</v>
      </c>
      <c r="K54" s="207">
        <f t="shared" si="12"/>
        <v>111132.17971397421</v>
      </c>
      <c r="L54" s="207">
        <f t="shared" si="12"/>
        <v>111132.17971397421</v>
      </c>
      <c r="M54" s="207">
        <f t="shared" si="12"/>
        <v>111132.17971397421</v>
      </c>
      <c r="N54" s="207">
        <f t="shared" si="12"/>
        <v>111132.17971397421</v>
      </c>
      <c r="O54" s="207">
        <f t="shared" si="12"/>
        <v>111132.17971397421</v>
      </c>
      <c r="P54" s="207">
        <f t="shared" si="12"/>
        <v>111132.17971397421</v>
      </c>
      <c r="Q54" s="207">
        <f t="shared" si="12"/>
        <v>111132.17971397421</v>
      </c>
      <c r="R54" s="207">
        <f t="shared" si="12"/>
        <v>111132.17971397421</v>
      </c>
      <c r="S54" s="207">
        <f t="shared" si="12"/>
        <v>111132.17971397421</v>
      </c>
      <c r="T54" s="207">
        <f t="shared" si="12"/>
        <v>111132.17971397421</v>
      </c>
      <c r="U54" s="207">
        <f t="shared" si="12"/>
        <v>111132.17971397421</v>
      </c>
      <c r="V54" s="207">
        <f t="shared" si="12"/>
        <v>111132.17971397421</v>
      </c>
      <c r="W54" s="207">
        <f t="shared" si="12"/>
        <v>111132.17971397421</v>
      </c>
      <c r="X54" s="207">
        <f t="shared" si="12"/>
        <v>111132.17971397421</v>
      </c>
      <c r="Y54" s="216"/>
      <c r="Z54" s="216"/>
    </row>
    <row r="55" spans="3:28" x14ac:dyDescent="0.25">
      <c r="C55" s="345"/>
      <c r="D55" s="208" t="s">
        <v>88</v>
      </c>
      <c r="E55" s="209"/>
      <c r="F55" s="209">
        <f t="shared" ref="F55:X55" si="13">SUM(F53:F54)</f>
        <v>8061132.1797139738</v>
      </c>
      <c r="G55" s="209">
        <f t="shared" si="13"/>
        <v>-554807.4579831406</v>
      </c>
      <c r="H55" s="209">
        <f t="shared" si="13"/>
        <v>-554807.4579831406</v>
      </c>
      <c r="I55" s="209">
        <f t="shared" si="13"/>
        <v>-554807.4579831406</v>
      </c>
      <c r="J55" s="209">
        <f t="shared" si="13"/>
        <v>-554807.4579831406</v>
      </c>
      <c r="K55" s="209">
        <f t="shared" si="13"/>
        <v>-554807.4579831406</v>
      </c>
      <c r="L55" s="209">
        <f t="shared" si="13"/>
        <v>-554807.4579831406</v>
      </c>
      <c r="M55" s="209">
        <f t="shared" si="13"/>
        <v>-554807.4579831406</v>
      </c>
      <c r="N55" s="209">
        <f t="shared" si="13"/>
        <v>-554807.4579831406</v>
      </c>
      <c r="O55" s="209">
        <f t="shared" si="13"/>
        <v>-554807.4579831406</v>
      </c>
      <c r="P55" s="209">
        <f t="shared" si="13"/>
        <v>-554807.4579831406</v>
      </c>
      <c r="Q55" s="209">
        <f t="shared" si="13"/>
        <v>-554807.4579831406</v>
      </c>
      <c r="R55" s="209">
        <f t="shared" si="13"/>
        <v>-554807.4579831406</v>
      </c>
      <c r="S55" s="209">
        <f t="shared" si="13"/>
        <v>-554807.4579831406</v>
      </c>
      <c r="T55" s="209">
        <f t="shared" si="13"/>
        <v>-554807.4579831406</v>
      </c>
      <c r="U55" s="209">
        <f t="shared" si="13"/>
        <v>-554807.4579831406</v>
      </c>
      <c r="V55" s="209">
        <f t="shared" si="13"/>
        <v>-554807.4579831406</v>
      </c>
      <c r="W55" s="209">
        <f t="shared" si="13"/>
        <v>-554807.4579831406</v>
      </c>
      <c r="X55" s="209">
        <f t="shared" si="13"/>
        <v>-1554807.4579831406</v>
      </c>
      <c r="Y55" s="216"/>
      <c r="Z55" s="216"/>
    </row>
    <row r="56" spans="3:28" x14ac:dyDescent="0.25">
      <c r="C56" s="345"/>
      <c r="D56" s="208" t="s">
        <v>62</v>
      </c>
      <c r="F56" s="243">
        <f>IRR(F55:X55)</f>
        <v>3.2126630552947066E-2</v>
      </c>
      <c r="Y56" s="216"/>
      <c r="Z56" s="216"/>
    </row>
    <row r="57" spans="3:28" x14ac:dyDescent="0.25">
      <c r="Y57" s="216"/>
      <c r="Z57" s="216"/>
    </row>
    <row r="58" spans="3:28" ht="15.75" thickBot="1" x14ac:dyDescent="0.3">
      <c r="C58" s="346" t="s">
        <v>153</v>
      </c>
      <c r="D58" s="193" t="s">
        <v>89</v>
      </c>
      <c r="E58" s="190"/>
      <c r="F58" s="168" t="s">
        <v>79</v>
      </c>
      <c r="G58" s="237" t="s">
        <v>80</v>
      </c>
      <c r="Y58" s="216"/>
      <c r="Z58" s="216"/>
    </row>
    <row r="59" spans="3:28" ht="15.75" thickTop="1" x14ac:dyDescent="0.25">
      <c r="C59" s="346"/>
      <c r="D59" s="192" t="s">
        <v>90</v>
      </c>
      <c r="F59" s="198">
        <f>F34</f>
        <v>2800000</v>
      </c>
      <c r="G59" s="198"/>
      <c r="H59" s="198"/>
      <c r="I59" s="198"/>
      <c r="J59" s="198"/>
      <c r="K59" s="198"/>
      <c r="L59" s="198"/>
      <c r="M59" s="198"/>
      <c r="N59" s="198"/>
      <c r="O59" s="198"/>
      <c r="P59" s="198"/>
      <c r="Q59" s="198"/>
      <c r="R59" s="198"/>
      <c r="S59" s="198"/>
      <c r="T59" s="198"/>
      <c r="U59" s="198"/>
      <c r="V59" s="198"/>
      <c r="W59" s="198"/>
      <c r="X59" s="198"/>
      <c r="Y59" s="216"/>
      <c r="Z59" s="216"/>
    </row>
    <row r="60" spans="3:28" x14ac:dyDescent="0.25">
      <c r="C60" s="346"/>
      <c r="D60" s="192" t="s">
        <v>91</v>
      </c>
      <c r="F60" s="198">
        <f>F6-G49*(E10+1)</f>
        <v>5440000</v>
      </c>
      <c r="G60" s="198"/>
      <c r="H60" s="198"/>
      <c r="I60" s="198"/>
      <c r="J60" s="198"/>
      <c r="K60" s="198"/>
      <c r="L60" s="198"/>
      <c r="M60" s="198"/>
      <c r="N60" s="198"/>
      <c r="O60" s="198"/>
      <c r="P60" s="198"/>
      <c r="Q60" s="198"/>
      <c r="R60" s="198"/>
      <c r="S60" s="198"/>
      <c r="T60" s="198"/>
      <c r="U60" s="198"/>
      <c r="V60" s="198"/>
      <c r="W60" s="198"/>
      <c r="X60" s="198"/>
      <c r="Y60" s="216"/>
      <c r="Z60" s="216"/>
    </row>
    <row r="61" spans="3:28" x14ac:dyDescent="0.25">
      <c r="C61" s="346"/>
      <c r="D61" s="206" t="s">
        <v>92</v>
      </c>
      <c r="E61" s="233"/>
      <c r="F61" s="207">
        <f>F60-F59</f>
        <v>2640000</v>
      </c>
      <c r="G61" s="207"/>
      <c r="H61" s="198"/>
      <c r="I61" s="198"/>
      <c r="J61" s="198"/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8"/>
      <c r="V61" s="198"/>
      <c r="W61" s="198"/>
      <c r="X61" s="198"/>
      <c r="Y61" s="216"/>
      <c r="Z61" s="216"/>
    </row>
    <row r="62" spans="3:28" x14ac:dyDescent="0.25">
      <c r="C62" s="346"/>
      <c r="D62" s="208" t="s">
        <v>93</v>
      </c>
      <c r="F62" s="198"/>
      <c r="G62" s="209">
        <f>F61*(SUM(E16:E17))</f>
        <v>736559.99999999988</v>
      </c>
      <c r="H62" s="198"/>
      <c r="I62" s="198"/>
      <c r="J62" s="198"/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216"/>
      <c r="Z62" s="216"/>
    </row>
    <row r="63" spans="3:28" x14ac:dyDescent="0.25">
      <c r="F63" s="198"/>
      <c r="G63" s="198"/>
      <c r="H63" s="198"/>
      <c r="I63" s="198"/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198"/>
      <c r="W63" s="198"/>
      <c r="X63" s="198"/>
      <c r="Y63" s="216"/>
      <c r="Z63" s="216"/>
    </row>
    <row r="64" spans="3:28" s="229" customFormat="1" x14ac:dyDescent="0.25">
      <c r="C64" s="346" t="s">
        <v>154</v>
      </c>
      <c r="D64" s="208" t="s">
        <v>94</v>
      </c>
      <c r="E64" s="281"/>
      <c r="F64" s="242">
        <v>0</v>
      </c>
      <c r="G64" s="242">
        <f>F64+1</f>
        <v>1</v>
      </c>
      <c r="H64" s="242">
        <f t="shared" ref="H64:L64" si="14">G64+1</f>
        <v>2</v>
      </c>
      <c r="I64" s="242">
        <f t="shared" si="14"/>
        <v>3</v>
      </c>
      <c r="J64" s="242">
        <f t="shared" si="14"/>
        <v>4</v>
      </c>
      <c r="K64" s="242">
        <f t="shared" si="14"/>
        <v>5</v>
      </c>
      <c r="L64" s="242">
        <f t="shared" si="14"/>
        <v>6</v>
      </c>
      <c r="M64" s="242">
        <f t="shared" ref="M64" si="15">L64+1</f>
        <v>7</v>
      </c>
      <c r="N64" s="242">
        <f t="shared" ref="N64" si="16">M64+1</f>
        <v>8</v>
      </c>
      <c r="O64" s="242">
        <f t="shared" ref="O64" si="17">N64+1</f>
        <v>9</v>
      </c>
      <c r="P64" s="242">
        <f t="shared" ref="P64" si="18">O64+1</f>
        <v>10</v>
      </c>
      <c r="Q64" s="242">
        <f t="shared" ref="Q64" si="19">P64+1</f>
        <v>11</v>
      </c>
      <c r="R64" s="242">
        <f t="shared" ref="R64" si="20">Q64+1</f>
        <v>12</v>
      </c>
      <c r="S64" s="242">
        <f t="shared" ref="S64" si="21">R64+1</f>
        <v>13</v>
      </c>
      <c r="T64" s="242">
        <f t="shared" ref="T64" si="22">S64+1</f>
        <v>14</v>
      </c>
      <c r="U64" s="242">
        <f t="shared" ref="U64" si="23">T64+1</f>
        <v>15</v>
      </c>
      <c r="V64" s="242">
        <f t="shared" ref="V64" si="24">U64+1</f>
        <v>16</v>
      </c>
      <c r="W64" s="242">
        <f t="shared" ref="W64" si="25">V64+1</f>
        <v>17</v>
      </c>
      <c r="X64" s="242">
        <f t="shared" ref="X64" si="26">W64+1</f>
        <v>18</v>
      </c>
      <c r="Y64" s="216"/>
      <c r="Z64" s="216"/>
      <c r="AA64" s="269"/>
      <c r="AB64" s="232"/>
    </row>
    <row r="65" spans="3:26" x14ac:dyDescent="0.25">
      <c r="C65" s="344"/>
      <c r="D65" s="203" t="str">
        <f>D55</f>
        <v>Flusso Leasing Fiscale</v>
      </c>
      <c r="E65" s="244"/>
      <c r="F65" s="205">
        <f>F55</f>
        <v>8061132.1797139738</v>
      </c>
      <c r="G65" s="205">
        <f>G55</f>
        <v>-554807.4579831406</v>
      </c>
      <c r="H65" s="205">
        <f>H55</f>
        <v>-554807.4579831406</v>
      </c>
      <c r="I65" s="205">
        <f t="shared" ref="I65:L65" si="27">I55</f>
        <v>-554807.4579831406</v>
      </c>
      <c r="J65" s="205">
        <f t="shared" si="27"/>
        <v>-554807.4579831406</v>
      </c>
      <c r="K65" s="205">
        <f t="shared" si="27"/>
        <v>-554807.4579831406</v>
      </c>
      <c r="L65" s="205">
        <f t="shared" si="27"/>
        <v>-554807.4579831406</v>
      </c>
      <c r="M65" s="205">
        <f t="shared" ref="M65:X65" si="28">M55</f>
        <v>-554807.4579831406</v>
      </c>
      <c r="N65" s="205">
        <f t="shared" si="28"/>
        <v>-554807.4579831406</v>
      </c>
      <c r="O65" s="205">
        <f t="shared" si="28"/>
        <v>-554807.4579831406</v>
      </c>
      <c r="P65" s="205">
        <f t="shared" si="28"/>
        <v>-554807.4579831406</v>
      </c>
      <c r="Q65" s="205">
        <f t="shared" si="28"/>
        <v>-554807.4579831406</v>
      </c>
      <c r="R65" s="205">
        <f t="shared" si="28"/>
        <v>-554807.4579831406</v>
      </c>
      <c r="S65" s="205">
        <f t="shared" si="28"/>
        <v>-554807.4579831406</v>
      </c>
      <c r="T65" s="205">
        <f t="shared" si="28"/>
        <v>-554807.4579831406</v>
      </c>
      <c r="U65" s="205">
        <f t="shared" si="28"/>
        <v>-554807.4579831406</v>
      </c>
      <c r="V65" s="205">
        <f t="shared" si="28"/>
        <v>-554807.4579831406</v>
      </c>
      <c r="W65" s="205">
        <f t="shared" si="28"/>
        <v>-554807.4579831406</v>
      </c>
      <c r="X65" s="205">
        <f t="shared" si="28"/>
        <v>-1554807.4579831406</v>
      </c>
      <c r="Y65" s="216"/>
      <c r="Z65" s="216"/>
    </row>
    <row r="66" spans="3:26" x14ac:dyDescent="0.25">
      <c r="C66" s="346"/>
      <c r="D66" s="206" t="s">
        <v>93</v>
      </c>
      <c r="E66" s="233"/>
      <c r="F66" s="207"/>
      <c r="G66" s="207"/>
      <c r="H66" s="207"/>
      <c r="I66" s="207"/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>
        <f>-G62</f>
        <v>-736559.99999999988</v>
      </c>
      <c r="Y66" s="216"/>
      <c r="Z66" s="216"/>
    </row>
    <row r="67" spans="3:26" x14ac:dyDescent="0.25">
      <c r="C67" s="346"/>
      <c r="D67" s="208" t="s">
        <v>95</v>
      </c>
      <c r="E67" s="210"/>
      <c r="F67" s="209">
        <f>SUM(F65:F66)</f>
        <v>8061132.1797139738</v>
      </c>
      <c r="G67" s="209">
        <f t="shared" ref="G67:L67" si="29">SUM(G65:G66)</f>
        <v>-554807.4579831406</v>
      </c>
      <c r="H67" s="209">
        <f>SUM(H65:H66)</f>
        <v>-554807.4579831406</v>
      </c>
      <c r="I67" s="209">
        <f t="shared" si="29"/>
        <v>-554807.4579831406</v>
      </c>
      <c r="J67" s="209">
        <f t="shared" si="29"/>
        <v>-554807.4579831406</v>
      </c>
      <c r="K67" s="209">
        <f t="shared" si="29"/>
        <v>-554807.4579831406</v>
      </c>
      <c r="L67" s="209">
        <f t="shared" si="29"/>
        <v>-554807.4579831406</v>
      </c>
      <c r="M67" s="209">
        <f t="shared" ref="M67:X67" si="30">SUM(M65:M66)</f>
        <v>-554807.4579831406</v>
      </c>
      <c r="N67" s="209">
        <f t="shared" si="30"/>
        <v>-554807.4579831406</v>
      </c>
      <c r="O67" s="209">
        <f t="shared" si="30"/>
        <v>-554807.4579831406</v>
      </c>
      <c r="P67" s="209">
        <f t="shared" si="30"/>
        <v>-554807.4579831406</v>
      </c>
      <c r="Q67" s="209">
        <f t="shared" si="30"/>
        <v>-554807.4579831406</v>
      </c>
      <c r="R67" s="209">
        <f t="shared" si="30"/>
        <v>-554807.4579831406</v>
      </c>
      <c r="S67" s="209">
        <f t="shared" si="30"/>
        <v>-554807.4579831406</v>
      </c>
      <c r="T67" s="209">
        <f t="shared" si="30"/>
        <v>-554807.4579831406</v>
      </c>
      <c r="U67" s="209">
        <f t="shared" si="30"/>
        <v>-554807.4579831406</v>
      </c>
      <c r="V67" s="209">
        <f t="shared" si="30"/>
        <v>-554807.4579831406</v>
      </c>
      <c r="W67" s="209">
        <f t="shared" si="30"/>
        <v>-554807.4579831406</v>
      </c>
      <c r="X67" s="209">
        <f t="shared" si="30"/>
        <v>-2291367.4579831404</v>
      </c>
      <c r="Y67" s="216"/>
      <c r="Z67" s="216"/>
    </row>
    <row r="68" spans="3:26" x14ac:dyDescent="0.25">
      <c r="C68" s="346"/>
      <c r="D68" s="234" t="s">
        <v>66</v>
      </c>
      <c r="E68" s="235"/>
      <c r="F68" s="236">
        <f>IRR(F67:X67)</f>
        <v>3.7532312670558676E-2</v>
      </c>
      <c r="Y68" s="216"/>
      <c r="Z68" s="216"/>
    </row>
    <row r="69" spans="3:26" x14ac:dyDescent="0.25">
      <c r="Y69" s="216"/>
      <c r="Z69" s="216"/>
    </row>
    <row r="70" spans="3:26" ht="15.75" customHeight="1" thickBot="1" x14ac:dyDescent="0.3">
      <c r="C70" s="344" t="s">
        <v>158</v>
      </c>
      <c r="D70" s="193" t="s">
        <v>155</v>
      </c>
      <c r="E70" s="194"/>
      <c r="Y70" s="216"/>
      <c r="Z70" s="216"/>
    </row>
    <row r="71" spans="3:26" ht="15.75" thickTop="1" x14ac:dyDescent="0.25">
      <c r="C71" s="344"/>
      <c r="D71" s="192" t="s">
        <v>96</v>
      </c>
      <c r="E71" s="198">
        <f>F6-F9</f>
        <v>8000000</v>
      </c>
    </row>
    <row r="72" spans="3:26" x14ac:dyDescent="0.25">
      <c r="C72" s="344"/>
      <c r="D72" s="192" t="s">
        <v>137</v>
      </c>
      <c r="E72" s="199">
        <f>E8</f>
        <v>5.0000000000000001E-3</v>
      </c>
    </row>
    <row r="73" spans="3:26" x14ac:dyDescent="0.25">
      <c r="C73" s="344"/>
      <c r="D73" s="192" t="s">
        <v>138</v>
      </c>
      <c r="E73" s="199">
        <v>2.5000000000000001E-3</v>
      </c>
    </row>
    <row r="74" spans="3:26" x14ac:dyDescent="0.25">
      <c r="C74" s="344"/>
      <c r="D74" s="192" t="s">
        <v>139</v>
      </c>
      <c r="E74" s="201">
        <v>18</v>
      </c>
    </row>
    <row r="75" spans="3:26" x14ac:dyDescent="0.25">
      <c r="C75" s="344"/>
      <c r="D75" s="192" t="s">
        <v>140</v>
      </c>
      <c r="E75" s="199">
        <v>5.2999999999999999E-2</v>
      </c>
    </row>
    <row r="76" spans="3:26" x14ac:dyDescent="0.25">
      <c r="C76" s="344"/>
      <c r="D76" s="192" t="s">
        <v>141</v>
      </c>
      <c r="E76" s="198">
        <f>-PMT(E75,E74,E71)</f>
        <v>700502.44308241701</v>
      </c>
    </row>
    <row r="77" spans="3:26" x14ac:dyDescent="0.25">
      <c r="E77" s="198"/>
    </row>
    <row r="78" spans="3:26" ht="15.75" customHeight="1" thickBot="1" x14ac:dyDescent="0.3">
      <c r="C78" s="344" t="s">
        <v>159</v>
      </c>
      <c r="D78" s="193" t="s">
        <v>156</v>
      </c>
      <c r="E78" s="194"/>
      <c r="F78" s="270"/>
      <c r="G78" s="231">
        <v>1</v>
      </c>
      <c r="H78" s="231">
        <f>G78+1</f>
        <v>2</v>
      </c>
      <c r="I78" s="231">
        <f t="shared" ref="I78:J78" si="31">H78+1</f>
        <v>3</v>
      </c>
      <c r="J78" s="231">
        <f t="shared" si="31"/>
        <v>4</v>
      </c>
      <c r="K78" s="231">
        <f t="shared" ref="K78:X78" si="32">J78+1</f>
        <v>5</v>
      </c>
      <c r="L78" s="231">
        <f t="shared" si="32"/>
        <v>6</v>
      </c>
      <c r="M78" s="231">
        <f t="shared" si="32"/>
        <v>7</v>
      </c>
      <c r="N78" s="231">
        <f t="shared" si="32"/>
        <v>8</v>
      </c>
      <c r="O78" s="231">
        <f t="shared" si="32"/>
        <v>9</v>
      </c>
      <c r="P78" s="231">
        <f t="shared" si="32"/>
        <v>10</v>
      </c>
      <c r="Q78" s="231">
        <f t="shared" si="32"/>
        <v>11</v>
      </c>
      <c r="R78" s="231">
        <f t="shared" si="32"/>
        <v>12</v>
      </c>
      <c r="S78" s="231">
        <f t="shared" si="32"/>
        <v>13</v>
      </c>
      <c r="T78" s="231">
        <f t="shared" si="32"/>
        <v>14</v>
      </c>
      <c r="U78" s="231">
        <f t="shared" si="32"/>
        <v>15</v>
      </c>
      <c r="V78" s="231">
        <f t="shared" si="32"/>
        <v>16</v>
      </c>
      <c r="W78" s="231">
        <f t="shared" si="32"/>
        <v>17</v>
      </c>
      <c r="X78" s="231">
        <f t="shared" si="32"/>
        <v>18</v>
      </c>
    </row>
    <row r="79" spans="3:26" ht="15.75" thickTop="1" x14ac:dyDescent="0.25">
      <c r="C79" s="344"/>
      <c r="D79" s="192" t="s">
        <v>142</v>
      </c>
      <c r="F79" s="198"/>
      <c r="G79" s="198">
        <f>E71</f>
        <v>8000000</v>
      </c>
      <c r="H79" s="198">
        <f>G82</f>
        <v>7723497.5569175826</v>
      </c>
      <c r="I79" s="198">
        <f t="shared" ref="I79:J79" si="33">H82</f>
        <v>7432340.484351797</v>
      </c>
      <c r="J79" s="198">
        <f t="shared" si="33"/>
        <v>7125752.086940025</v>
      </c>
      <c r="K79" s="198">
        <f t="shared" ref="K79" si="34">J82</f>
        <v>6802914.5044654291</v>
      </c>
      <c r="L79" s="198">
        <f t="shared" ref="L79" si="35">K82</f>
        <v>6462966.5301196799</v>
      </c>
      <c r="M79" s="198">
        <f t="shared" ref="M79" si="36">L82</f>
        <v>6105001.3131336058</v>
      </c>
      <c r="N79" s="198">
        <f t="shared" ref="N79" si="37">M82</f>
        <v>5728063.9396472694</v>
      </c>
      <c r="O79" s="198">
        <f t="shared" ref="O79" si="38">N82</f>
        <v>5331148.8853661576</v>
      </c>
      <c r="P79" s="198">
        <f t="shared" ref="P79" si="39">O82</f>
        <v>4913197.3332081474</v>
      </c>
      <c r="Q79" s="198">
        <f t="shared" ref="Q79" si="40">P82</f>
        <v>4473094.3487857617</v>
      </c>
      <c r="R79" s="198">
        <f t="shared" ref="R79" si="41">Q82</f>
        <v>4009665.90618899</v>
      </c>
      <c r="S79" s="198">
        <f t="shared" ref="S79" si="42">R82</f>
        <v>3521675.7561345892</v>
      </c>
      <c r="T79" s="198">
        <f t="shared" ref="T79" si="43">S82</f>
        <v>3007822.1281273053</v>
      </c>
      <c r="U79" s="198">
        <f t="shared" ref="U79" si="44">T82</f>
        <v>2466734.2578356354</v>
      </c>
      <c r="V79" s="198">
        <f t="shared" ref="V79" si="45">U82</f>
        <v>1896968.730418507</v>
      </c>
      <c r="W79" s="198">
        <f t="shared" ref="W79" si="46">V82</f>
        <v>1297005.6300482708</v>
      </c>
      <c r="X79" s="198">
        <f t="shared" ref="X79" si="47">W82</f>
        <v>665244.48535841214</v>
      </c>
    </row>
    <row r="80" spans="3:26" x14ac:dyDescent="0.25">
      <c r="C80" s="344"/>
      <c r="D80" s="192" t="s">
        <v>97</v>
      </c>
      <c r="F80" s="198"/>
      <c r="G80" s="198">
        <f>G79*$E$75</f>
        <v>424000</v>
      </c>
      <c r="H80" s="198">
        <f>H79*$E$75</f>
        <v>409345.37051663187</v>
      </c>
      <c r="I80" s="198">
        <f t="shared" ref="I80:J80" si="48">I79*$E$75</f>
        <v>393914.04567064525</v>
      </c>
      <c r="J80" s="198">
        <f t="shared" si="48"/>
        <v>377664.86060782132</v>
      </c>
      <c r="K80" s="198">
        <f t="shared" ref="K80:X80" si="49">K79*$E$75</f>
        <v>360554.46873666771</v>
      </c>
      <c r="L80" s="198">
        <f t="shared" si="49"/>
        <v>342537.22609634302</v>
      </c>
      <c r="M80" s="198">
        <f t="shared" si="49"/>
        <v>323565.0695960811</v>
      </c>
      <c r="N80" s="198">
        <f t="shared" si="49"/>
        <v>303587.38880130526</v>
      </c>
      <c r="O80" s="198">
        <f t="shared" si="49"/>
        <v>282550.89092440635</v>
      </c>
      <c r="P80" s="198">
        <f t="shared" si="49"/>
        <v>260399.45866003181</v>
      </c>
      <c r="Q80" s="198">
        <f t="shared" si="49"/>
        <v>237074.00048564537</v>
      </c>
      <c r="R80" s="198">
        <f t="shared" si="49"/>
        <v>212512.29302801646</v>
      </c>
      <c r="S80" s="198">
        <f t="shared" si="49"/>
        <v>186648.81507513323</v>
      </c>
      <c r="T80" s="198">
        <f t="shared" si="49"/>
        <v>159414.57279074719</v>
      </c>
      <c r="U80" s="198">
        <f t="shared" si="49"/>
        <v>130736.91566528867</v>
      </c>
      <c r="V80" s="198">
        <f t="shared" si="49"/>
        <v>100539.34271218086</v>
      </c>
      <c r="W80" s="198">
        <f t="shared" si="49"/>
        <v>68741.298392558354</v>
      </c>
      <c r="X80" s="198">
        <f t="shared" si="49"/>
        <v>35257.957723995845</v>
      </c>
    </row>
    <row r="81" spans="3:25" x14ac:dyDescent="0.25">
      <c r="C81" s="344"/>
      <c r="D81" s="192" t="s">
        <v>98</v>
      </c>
      <c r="F81" s="198"/>
      <c r="G81" s="198">
        <f>$E$76-G80</f>
        <v>276502.44308241701</v>
      </c>
      <c r="H81" s="198">
        <f>$E$76-H80</f>
        <v>291157.07256578514</v>
      </c>
      <c r="I81" s="198">
        <f t="shared" ref="I81:J81" si="50">$E$76-I80</f>
        <v>306588.39741177176</v>
      </c>
      <c r="J81" s="198">
        <f t="shared" si="50"/>
        <v>322837.58247459569</v>
      </c>
      <c r="K81" s="198">
        <f t="shared" ref="K81:X81" si="51">$E$76-K80</f>
        <v>339947.9743457493</v>
      </c>
      <c r="L81" s="198">
        <f t="shared" si="51"/>
        <v>357965.216986074</v>
      </c>
      <c r="M81" s="198">
        <f t="shared" si="51"/>
        <v>376937.37348633591</v>
      </c>
      <c r="N81" s="198">
        <f t="shared" si="51"/>
        <v>396915.05428111175</v>
      </c>
      <c r="O81" s="198">
        <f t="shared" si="51"/>
        <v>417951.55215801066</v>
      </c>
      <c r="P81" s="198">
        <f t="shared" si="51"/>
        <v>440102.98442238523</v>
      </c>
      <c r="Q81" s="198">
        <f t="shared" si="51"/>
        <v>463428.44259677164</v>
      </c>
      <c r="R81" s="198">
        <f t="shared" si="51"/>
        <v>487990.15005440055</v>
      </c>
      <c r="S81" s="198">
        <f t="shared" si="51"/>
        <v>513853.62800728378</v>
      </c>
      <c r="T81" s="198">
        <f t="shared" si="51"/>
        <v>541087.87029166985</v>
      </c>
      <c r="U81" s="198">
        <f t="shared" si="51"/>
        <v>569765.52741712832</v>
      </c>
      <c r="V81" s="198">
        <f t="shared" si="51"/>
        <v>599963.10037023621</v>
      </c>
      <c r="W81" s="198">
        <f t="shared" si="51"/>
        <v>631761.14468985866</v>
      </c>
      <c r="X81" s="198">
        <f t="shared" si="51"/>
        <v>665244.48535842123</v>
      </c>
    </row>
    <row r="82" spans="3:25" x14ac:dyDescent="0.25">
      <c r="C82" s="344"/>
      <c r="D82" s="192" t="s">
        <v>143</v>
      </c>
      <c r="F82" s="198"/>
      <c r="G82" s="198">
        <f>G79-G81</f>
        <v>7723497.5569175826</v>
      </c>
      <c r="H82" s="198">
        <f>H79-H81</f>
        <v>7432340.484351797</v>
      </c>
      <c r="I82" s="198">
        <f t="shared" ref="I82:J82" si="52">I79-I81</f>
        <v>7125752.086940025</v>
      </c>
      <c r="J82" s="198">
        <f t="shared" si="52"/>
        <v>6802914.5044654291</v>
      </c>
      <c r="K82" s="198">
        <f t="shared" ref="K82:X82" si="53">K79-K81</f>
        <v>6462966.5301196799</v>
      </c>
      <c r="L82" s="198">
        <f t="shared" si="53"/>
        <v>6105001.3131336058</v>
      </c>
      <c r="M82" s="198">
        <f t="shared" si="53"/>
        <v>5728063.9396472694</v>
      </c>
      <c r="N82" s="198">
        <f t="shared" si="53"/>
        <v>5331148.8853661576</v>
      </c>
      <c r="O82" s="198">
        <f t="shared" si="53"/>
        <v>4913197.3332081474</v>
      </c>
      <c r="P82" s="198">
        <f t="shared" si="53"/>
        <v>4473094.3487857617</v>
      </c>
      <c r="Q82" s="198">
        <f t="shared" si="53"/>
        <v>4009665.90618899</v>
      </c>
      <c r="R82" s="198">
        <f t="shared" si="53"/>
        <v>3521675.7561345892</v>
      </c>
      <c r="S82" s="198">
        <f t="shared" si="53"/>
        <v>3007822.1281273053</v>
      </c>
      <c r="T82" s="198">
        <f t="shared" si="53"/>
        <v>2466734.2578356354</v>
      </c>
      <c r="U82" s="198">
        <f t="shared" si="53"/>
        <v>1896968.730418507</v>
      </c>
      <c r="V82" s="198">
        <f t="shared" si="53"/>
        <v>1297005.6300482708</v>
      </c>
      <c r="W82" s="198">
        <f t="shared" si="53"/>
        <v>665244.48535841214</v>
      </c>
      <c r="X82" s="198">
        <f t="shared" si="53"/>
        <v>-9.0803951025009155E-9</v>
      </c>
    </row>
    <row r="83" spans="3:25" x14ac:dyDescent="0.25">
      <c r="C83" s="344"/>
      <c r="D83" s="192" t="s">
        <v>35</v>
      </c>
      <c r="F83" s="198"/>
      <c r="G83" s="198">
        <f t="shared" ref="G83:J83" si="54">G80*$E$16</f>
        <v>101760</v>
      </c>
      <c r="H83" s="198">
        <f t="shared" si="54"/>
        <v>98242.888923991646</v>
      </c>
      <c r="I83" s="198">
        <f t="shared" si="54"/>
        <v>94539.370960954853</v>
      </c>
      <c r="J83" s="198">
        <f t="shared" si="54"/>
        <v>90639.566545877111</v>
      </c>
      <c r="K83" s="198">
        <f t="shared" ref="K83:X83" si="55">K80*$E$16</f>
        <v>86533.072496800247</v>
      </c>
      <c r="L83" s="198">
        <f t="shared" si="55"/>
        <v>82208.934263122326</v>
      </c>
      <c r="M83" s="198">
        <f t="shared" si="55"/>
        <v>77655.616703059466</v>
      </c>
      <c r="N83" s="198">
        <f t="shared" si="55"/>
        <v>72860.973312313261</v>
      </c>
      <c r="O83" s="198">
        <f t="shared" si="55"/>
        <v>67812.213821857527</v>
      </c>
      <c r="P83" s="198">
        <f t="shared" si="55"/>
        <v>62495.870078407635</v>
      </c>
      <c r="Q83" s="198">
        <f t="shared" si="55"/>
        <v>56897.760116554891</v>
      </c>
      <c r="R83" s="198">
        <f t="shared" si="55"/>
        <v>51002.950326723949</v>
      </c>
      <c r="S83" s="198">
        <f t="shared" si="55"/>
        <v>44795.715618031973</v>
      </c>
      <c r="T83" s="198">
        <f t="shared" si="55"/>
        <v>38259.497469779322</v>
      </c>
      <c r="U83" s="198">
        <f t="shared" si="55"/>
        <v>31376.859759669282</v>
      </c>
      <c r="V83" s="198">
        <f t="shared" si="55"/>
        <v>24129.442250923406</v>
      </c>
      <c r="W83" s="198">
        <f t="shared" si="55"/>
        <v>16497.911614214005</v>
      </c>
      <c r="X83" s="198">
        <f t="shared" si="55"/>
        <v>8461.9098537590035</v>
      </c>
    </row>
    <row r="84" spans="3:25" x14ac:dyDescent="0.25">
      <c r="F84" s="198"/>
      <c r="G84" s="198"/>
      <c r="H84" s="198"/>
      <c r="I84" s="198"/>
      <c r="J84" s="198"/>
      <c r="K84" s="198"/>
      <c r="L84" s="198"/>
      <c r="M84" s="198"/>
      <c r="N84" s="198"/>
      <c r="O84" s="198"/>
      <c r="P84" s="198"/>
      <c r="Q84" s="198"/>
      <c r="R84" s="198"/>
      <c r="S84" s="198"/>
      <c r="T84" s="198"/>
      <c r="U84" s="198"/>
      <c r="V84" s="198"/>
      <c r="W84" s="198"/>
      <c r="X84" s="198"/>
    </row>
    <row r="85" spans="3:25" ht="15.75" customHeight="1" thickBot="1" x14ac:dyDescent="0.3">
      <c r="C85" s="344" t="s">
        <v>160</v>
      </c>
      <c r="D85" s="193" t="s">
        <v>157</v>
      </c>
      <c r="E85" s="194"/>
      <c r="F85" s="270"/>
      <c r="G85" s="231">
        <v>1</v>
      </c>
      <c r="H85" s="231">
        <f>G85+1</f>
        <v>2</v>
      </c>
      <c r="I85" s="231">
        <f t="shared" ref="I85:X85" si="56">H85+1</f>
        <v>3</v>
      </c>
      <c r="J85" s="231">
        <f t="shared" si="56"/>
        <v>4</v>
      </c>
      <c r="K85" s="231">
        <f t="shared" si="56"/>
        <v>5</v>
      </c>
      <c r="L85" s="231">
        <f t="shared" si="56"/>
        <v>6</v>
      </c>
      <c r="M85" s="231">
        <f t="shared" si="56"/>
        <v>7</v>
      </c>
      <c r="N85" s="231">
        <f t="shared" si="56"/>
        <v>8</v>
      </c>
      <c r="O85" s="231">
        <f t="shared" si="56"/>
        <v>9</v>
      </c>
      <c r="P85" s="231">
        <f t="shared" si="56"/>
        <v>10</v>
      </c>
      <c r="Q85" s="231">
        <f t="shared" si="56"/>
        <v>11</v>
      </c>
      <c r="R85" s="231">
        <f t="shared" si="56"/>
        <v>12</v>
      </c>
      <c r="S85" s="231">
        <f t="shared" si="56"/>
        <v>13</v>
      </c>
      <c r="T85" s="231">
        <f t="shared" si="56"/>
        <v>14</v>
      </c>
      <c r="U85" s="231">
        <f t="shared" si="56"/>
        <v>15</v>
      </c>
      <c r="V85" s="231">
        <f t="shared" si="56"/>
        <v>16</v>
      </c>
      <c r="W85" s="231">
        <f t="shared" si="56"/>
        <v>17</v>
      </c>
      <c r="X85" s="231">
        <f t="shared" si="56"/>
        <v>18</v>
      </c>
    </row>
    <row r="86" spans="3:25" ht="15.75" thickTop="1" x14ac:dyDescent="0.25">
      <c r="C86" s="344"/>
      <c r="D86" s="192" t="s">
        <v>99</v>
      </c>
      <c r="F86" s="198">
        <f>E71</f>
        <v>8000000</v>
      </c>
      <c r="G86" s="198"/>
      <c r="H86" s="198"/>
      <c r="I86" s="198"/>
      <c r="J86" s="198"/>
      <c r="K86" s="198"/>
      <c r="L86" s="198"/>
      <c r="M86" s="198"/>
      <c r="N86" s="198"/>
      <c r="O86" s="198"/>
      <c r="P86" s="198"/>
      <c r="Q86" s="198"/>
      <c r="R86" s="198"/>
      <c r="S86" s="198"/>
      <c r="T86" s="198"/>
      <c r="U86" s="198"/>
      <c r="V86" s="198"/>
      <c r="W86" s="198"/>
      <c r="X86" s="198"/>
    </row>
    <row r="87" spans="3:25" x14ac:dyDescent="0.25">
      <c r="C87" s="344"/>
      <c r="D87" s="192" t="s">
        <v>138</v>
      </c>
      <c r="F87" s="198">
        <f>-$E$71*E73</f>
        <v>-20000</v>
      </c>
      <c r="G87" s="198"/>
      <c r="H87" s="198"/>
      <c r="I87" s="198"/>
      <c r="J87" s="198"/>
      <c r="K87" s="198"/>
      <c r="L87" s="198"/>
      <c r="M87" s="198"/>
      <c r="N87" s="198"/>
      <c r="O87" s="198"/>
      <c r="P87" s="198"/>
      <c r="Q87" s="198"/>
      <c r="R87" s="198"/>
      <c r="S87" s="198"/>
      <c r="T87" s="198"/>
      <c r="U87" s="198"/>
      <c r="V87" s="198"/>
      <c r="W87" s="198"/>
      <c r="X87" s="198"/>
    </row>
    <row r="88" spans="3:25" x14ac:dyDescent="0.25">
      <c r="C88" s="344"/>
      <c r="D88" s="192" t="s">
        <v>137</v>
      </c>
      <c r="F88" s="198">
        <f>-$E$71*E72</f>
        <v>-40000</v>
      </c>
      <c r="G88" s="198"/>
      <c r="H88" s="198"/>
      <c r="I88" s="198"/>
      <c r="J88" s="198"/>
      <c r="K88" s="198"/>
      <c r="L88" s="198"/>
      <c r="M88" s="198"/>
      <c r="N88" s="198"/>
      <c r="O88" s="198"/>
      <c r="P88" s="198"/>
      <c r="Q88" s="198"/>
      <c r="R88" s="198"/>
      <c r="S88" s="198"/>
      <c r="T88" s="198"/>
      <c r="U88" s="198"/>
      <c r="V88" s="198"/>
      <c r="W88" s="198"/>
      <c r="X88" s="198"/>
    </row>
    <row r="89" spans="3:25" x14ac:dyDescent="0.25">
      <c r="C89" s="344"/>
      <c r="D89" s="271" t="s">
        <v>141</v>
      </c>
      <c r="E89" s="233"/>
      <c r="F89" s="207"/>
      <c r="G89" s="207">
        <f>-(G80+G81)</f>
        <v>-700502.44308241701</v>
      </c>
      <c r="H89" s="207">
        <f>-(H80+H81)</f>
        <v>-700502.44308241701</v>
      </c>
      <c r="I89" s="207">
        <f>-(I80+I81)</f>
        <v>-700502.44308241701</v>
      </c>
      <c r="J89" s="207">
        <f>-(J80+J81)</f>
        <v>-700502.44308241701</v>
      </c>
      <c r="K89" s="207">
        <f t="shared" ref="K89:X89" si="57">-(K80+K81)</f>
        <v>-700502.44308241701</v>
      </c>
      <c r="L89" s="207">
        <f t="shared" si="57"/>
        <v>-700502.44308241701</v>
      </c>
      <c r="M89" s="207">
        <f t="shared" si="57"/>
        <v>-700502.44308241701</v>
      </c>
      <c r="N89" s="207">
        <f t="shared" si="57"/>
        <v>-700502.44308241701</v>
      </c>
      <c r="O89" s="207">
        <f t="shared" si="57"/>
        <v>-700502.44308241701</v>
      </c>
      <c r="P89" s="207">
        <f t="shared" si="57"/>
        <v>-700502.44308241701</v>
      </c>
      <c r="Q89" s="207">
        <f t="shared" si="57"/>
        <v>-700502.44308241701</v>
      </c>
      <c r="R89" s="207">
        <f t="shared" si="57"/>
        <v>-700502.44308241701</v>
      </c>
      <c r="S89" s="207">
        <f t="shared" si="57"/>
        <v>-700502.44308241701</v>
      </c>
      <c r="T89" s="207">
        <f t="shared" si="57"/>
        <v>-700502.44308241701</v>
      </c>
      <c r="U89" s="207">
        <f t="shared" si="57"/>
        <v>-700502.44308241701</v>
      </c>
      <c r="V89" s="207">
        <f t="shared" si="57"/>
        <v>-700502.44308241713</v>
      </c>
      <c r="W89" s="207">
        <f t="shared" si="57"/>
        <v>-700502.44308241701</v>
      </c>
      <c r="X89" s="207">
        <f t="shared" si="57"/>
        <v>-700502.44308241713</v>
      </c>
    </row>
    <row r="90" spans="3:25" x14ac:dyDescent="0.25">
      <c r="C90" s="344"/>
      <c r="D90" s="208" t="s">
        <v>76</v>
      </c>
      <c r="E90" s="210"/>
      <c r="F90" s="209">
        <f>SUM(F86:F89)</f>
        <v>7940000</v>
      </c>
      <c r="G90" s="209">
        <f>SUM(G86:G89)</f>
        <v>-700502.44308241701</v>
      </c>
      <c r="H90" s="209">
        <f t="shared" ref="H90:J90" si="58">SUM(H86:H89)</f>
        <v>-700502.44308241701</v>
      </c>
      <c r="I90" s="209">
        <f t="shared" si="58"/>
        <v>-700502.44308241701</v>
      </c>
      <c r="J90" s="209">
        <f t="shared" si="58"/>
        <v>-700502.44308241701</v>
      </c>
      <c r="K90" s="209">
        <f t="shared" ref="K90:X90" si="59">SUM(K86:K89)</f>
        <v>-700502.44308241701</v>
      </c>
      <c r="L90" s="209">
        <f t="shared" si="59"/>
        <v>-700502.44308241701</v>
      </c>
      <c r="M90" s="209">
        <f t="shared" si="59"/>
        <v>-700502.44308241701</v>
      </c>
      <c r="N90" s="209">
        <f t="shared" si="59"/>
        <v>-700502.44308241701</v>
      </c>
      <c r="O90" s="209">
        <f t="shared" si="59"/>
        <v>-700502.44308241701</v>
      </c>
      <c r="P90" s="209">
        <f t="shared" si="59"/>
        <v>-700502.44308241701</v>
      </c>
      <c r="Q90" s="209">
        <f t="shared" si="59"/>
        <v>-700502.44308241701</v>
      </c>
      <c r="R90" s="209">
        <f t="shared" si="59"/>
        <v>-700502.44308241701</v>
      </c>
      <c r="S90" s="209">
        <f t="shared" si="59"/>
        <v>-700502.44308241701</v>
      </c>
      <c r="T90" s="209">
        <f t="shared" si="59"/>
        <v>-700502.44308241701</v>
      </c>
      <c r="U90" s="209">
        <f t="shared" si="59"/>
        <v>-700502.44308241701</v>
      </c>
      <c r="V90" s="209">
        <f t="shared" si="59"/>
        <v>-700502.44308241713</v>
      </c>
      <c r="W90" s="209">
        <f t="shared" si="59"/>
        <v>-700502.44308241701</v>
      </c>
      <c r="X90" s="209">
        <f t="shared" si="59"/>
        <v>-700502.44308241713</v>
      </c>
    </row>
    <row r="91" spans="3:25" x14ac:dyDescent="0.25">
      <c r="C91" s="344"/>
      <c r="D91" s="272" t="s">
        <v>100</v>
      </c>
      <c r="E91" s="273">
        <f>IRR(F90:Y90)</f>
        <v>5.3976998354308359E-2</v>
      </c>
      <c r="F91" s="274"/>
      <c r="G91" s="207"/>
      <c r="H91" s="274"/>
      <c r="I91" s="274"/>
      <c r="J91" s="274"/>
      <c r="K91" s="274"/>
      <c r="L91" s="274"/>
      <c r="M91" s="274"/>
      <c r="N91" s="274"/>
      <c r="O91" s="274"/>
      <c r="P91" s="274"/>
      <c r="Q91" s="274"/>
      <c r="R91" s="274"/>
      <c r="S91" s="274"/>
      <c r="T91" s="274"/>
      <c r="U91" s="274"/>
      <c r="V91" s="274"/>
      <c r="W91" s="274"/>
      <c r="X91" s="274"/>
    </row>
    <row r="92" spans="3:25" x14ac:dyDescent="0.25">
      <c r="C92" s="344"/>
      <c r="D92" s="271" t="s">
        <v>35</v>
      </c>
      <c r="E92" s="233"/>
      <c r="F92" s="207"/>
      <c r="G92" s="207">
        <f>G83</f>
        <v>101760</v>
      </c>
      <c r="H92" s="207">
        <f>H83</f>
        <v>98242.888923991646</v>
      </c>
      <c r="I92" s="207">
        <f>I83</f>
        <v>94539.370960954853</v>
      </c>
      <c r="J92" s="207">
        <f>J83</f>
        <v>90639.566545877111</v>
      </c>
      <c r="K92" s="207">
        <f t="shared" ref="K92:X92" si="60">K83</f>
        <v>86533.072496800247</v>
      </c>
      <c r="L92" s="207">
        <f t="shared" si="60"/>
        <v>82208.934263122326</v>
      </c>
      <c r="M92" s="207">
        <f t="shared" si="60"/>
        <v>77655.616703059466</v>
      </c>
      <c r="N92" s="207">
        <f t="shared" si="60"/>
        <v>72860.973312313261</v>
      </c>
      <c r="O92" s="207">
        <f t="shared" si="60"/>
        <v>67812.213821857527</v>
      </c>
      <c r="P92" s="207">
        <f t="shared" si="60"/>
        <v>62495.870078407635</v>
      </c>
      <c r="Q92" s="207">
        <f t="shared" si="60"/>
        <v>56897.760116554891</v>
      </c>
      <c r="R92" s="207">
        <f t="shared" si="60"/>
        <v>51002.950326723949</v>
      </c>
      <c r="S92" s="207">
        <f t="shared" si="60"/>
        <v>44795.715618031973</v>
      </c>
      <c r="T92" s="207">
        <f t="shared" si="60"/>
        <v>38259.497469779322</v>
      </c>
      <c r="U92" s="207">
        <f t="shared" si="60"/>
        <v>31376.859759669282</v>
      </c>
      <c r="V92" s="207">
        <f t="shared" si="60"/>
        <v>24129.442250923406</v>
      </c>
      <c r="W92" s="207">
        <f t="shared" si="60"/>
        <v>16497.911614214005</v>
      </c>
      <c r="X92" s="207">
        <f t="shared" si="60"/>
        <v>8461.9098537590035</v>
      </c>
    </row>
    <row r="93" spans="3:25" x14ac:dyDescent="0.25">
      <c r="C93" s="344"/>
      <c r="D93" s="208" t="s">
        <v>101</v>
      </c>
      <c r="F93" s="209">
        <f t="shared" ref="F93:J93" si="61">F90+F92</f>
        <v>7940000</v>
      </c>
      <c r="G93" s="209">
        <f t="shared" si="61"/>
        <v>-598742.44308241701</v>
      </c>
      <c r="H93" s="209">
        <f t="shared" si="61"/>
        <v>-602259.55415842542</v>
      </c>
      <c r="I93" s="209">
        <f t="shared" si="61"/>
        <v>-605963.0721214622</v>
      </c>
      <c r="J93" s="209">
        <f t="shared" si="61"/>
        <v>-609862.87653653987</v>
      </c>
      <c r="K93" s="209">
        <f t="shared" ref="K93:X93" si="62">K90+K92</f>
        <v>-613969.37058561679</v>
      </c>
      <c r="L93" s="209">
        <f t="shared" si="62"/>
        <v>-618293.50881929463</v>
      </c>
      <c r="M93" s="209">
        <f t="shared" si="62"/>
        <v>-622846.8263793576</v>
      </c>
      <c r="N93" s="209">
        <f t="shared" si="62"/>
        <v>-627641.46977010369</v>
      </c>
      <c r="O93" s="209">
        <f t="shared" si="62"/>
        <v>-632690.22926055943</v>
      </c>
      <c r="P93" s="209">
        <f t="shared" si="62"/>
        <v>-638006.57300400943</v>
      </c>
      <c r="Q93" s="209">
        <f t="shared" si="62"/>
        <v>-643604.6829658621</v>
      </c>
      <c r="R93" s="209">
        <f t="shared" si="62"/>
        <v>-649499.49275569303</v>
      </c>
      <c r="S93" s="209">
        <f t="shared" si="62"/>
        <v>-655706.7274643851</v>
      </c>
      <c r="T93" s="209">
        <f t="shared" si="62"/>
        <v>-662242.94561263768</v>
      </c>
      <c r="U93" s="209">
        <f t="shared" si="62"/>
        <v>-669125.58332274773</v>
      </c>
      <c r="V93" s="209">
        <f t="shared" si="62"/>
        <v>-676373.00083149376</v>
      </c>
      <c r="W93" s="209">
        <f t="shared" si="62"/>
        <v>-684004.53146820306</v>
      </c>
      <c r="X93" s="209">
        <f t="shared" si="62"/>
        <v>-692040.53322865814</v>
      </c>
    </row>
    <row r="94" spans="3:25" x14ac:dyDescent="0.25">
      <c r="C94" s="344"/>
      <c r="D94" s="234" t="s">
        <v>102</v>
      </c>
      <c r="E94" s="236">
        <f>IRR(F93:Y93)</f>
        <v>4.1185290673813046E-2</v>
      </c>
      <c r="F94" s="198"/>
      <c r="G94" s="198"/>
      <c r="H94" s="198"/>
      <c r="I94" s="198"/>
      <c r="J94" s="198"/>
      <c r="K94" s="198"/>
      <c r="L94" s="198"/>
      <c r="M94" s="198"/>
      <c r="N94" s="198"/>
      <c r="O94" s="198"/>
      <c r="P94" s="198"/>
      <c r="Q94" s="198"/>
      <c r="R94" s="198"/>
      <c r="S94" s="198"/>
      <c r="T94" s="198"/>
      <c r="U94" s="198"/>
      <c r="V94" s="198"/>
      <c r="W94" s="198"/>
      <c r="X94" s="198"/>
      <c r="Y94" s="198"/>
    </row>
    <row r="96" spans="3:25" x14ac:dyDescent="0.25">
      <c r="E96" s="275"/>
    </row>
  </sheetData>
  <mergeCells count="11">
    <mergeCell ref="C5:C17"/>
    <mergeCell ref="C19:C24"/>
    <mergeCell ref="C26:C34"/>
    <mergeCell ref="C36:C43"/>
    <mergeCell ref="C45:C50"/>
    <mergeCell ref="C70:C76"/>
    <mergeCell ref="C78:C83"/>
    <mergeCell ref="C85:C94"/>
    <mergeCell ref="C52:C56"/>
    <mergeCell ref="C58:C62"/>
    <mergeCell ref="C64:C68"/>
  </mergeCells>
  <pageMargins left="0.75" right="0.75" top="1" bottom="1" header="0.5" footer="0.5"/>
  <pageSetup paperSize="9" orientation="portrait" r:id="rId1"/>
  <headerFooter alignWithMargins="0"/>
  <ignoredErrors>
    <ignoredError sqref="G62" formulaRange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Foglio51">
    <tabColor rgb="FF00B0F0"/>
  </sheetPr>
  <dimension ref="B2:F5"/>
  <sheetViews>
    <sheetView showGridLines="0" workbookViewId="0">
      <selection activeCell="I16" sqref="I16"/>
    </sheetView>
  </sheetViews>
  <sheetFormatPr defaultColWidth="9.140625" defaultRowHeight="15" x14ac:dyDescent="0.25"/>
  <cols>
    <col min="1" max="1" width="9.140625" style="6" customWidth="1"/>
    <col min="2" max="2" width="35.5703125" style="50" bestFit="1" customWidth="1"/>
    <col min="3" max="4" width="7.42578125" style="45" bestFit="1" customWidth="1"/>
    <col min="5" max="5" width="10.42578125" style="45" bestFit="1" customWidth="1"/>
    <col min="6" max="6" width="15" style="7" bestFit="1" customWidth="1"/>
    <col min="7" max="7" width="5" style="6" customWidth="1"/>
    <col min="8" max="8" width="7.85546875" style="6" customWidth="1"/>
    <col min="9" max="19" width="13.5703125" style="6" customWidth="1"/>
    <col min="20" max="20" width="13.5703125" style="6" bestFit="1" customWidth="1"/>
    <col min="21" max="21" width="14.7109375" style="6" bestFit="1" customWidth="1"/>
    <col min="22" max="16384" width="9.140625" style="6"/>
  </cols>
  <sheetData>
    <row r="2" spans="2:5" ht="15.75" thickBot="1" x14ac:dyDescent="0.3">
      <c r="B2" s="111"/>
      <c r="C2" s="83" t="s">
        <v>106</v>
      </c>
      <c r="D2" s="83" t="s">
        <v>107</v>
      </c>
      <c r="E2" s="83" t="s">
        <v>92</v>
      </c>
    </row>
    <row r="3" spans="2:5" ht="15.75" thickTop="1" x14ac:dyDescent="0.25">
      <c r="B3" s="50" t="s">
        <v>108</v>
      </c>
      <c r="C3" s="44">
        <f>newslbcalc!D35</f>
        <v>5.3767404926594153E-2</v>
      </c>
      <c r="D3" s="44">
        <f>newslbcalc!E35</f>
        <v>5.3767404926594153E-2</v>
      </c>
      <c r="E3" s="44">
        <f>newslbcalc!F35</f>
        <v>0</v>
      </c>
    </row>
    <row r="4" spans="2:5" x14ac:dyDescent="0.25">
      <c r="B4" s="50" t="s">
        <v>62</v>
      </c>
      <c r="C4" s="44">
        <f>newslbcalc!D36</f>
        <v>3.3408170540267346E-2</v>
      </c>
      <c r="D4" s="44">
        <f>newslbcalc!E36</f>
        <v>4.2122666458306979E-2</v>
      </c>
      <c r="E4" s="44">
        <f>newslbcalc!F36</f>
        <v>8.7144959180396331E-3</v>
      </c>
    </row>
    <row r="5" spans="2:5" x14ac:dyDescent="0.25">
      <c r="B5" s="112" t="s">
        <v>66</v>
      </c>
      <c r="C5" s="113">
        <f>newslbcalc!D37</f>
        <v>2.9694124088412543E-2</v>
      </c>
      <c r="D5" s="113">
        <f>newslbcalc!E37</f>
        <v>3.5190132261041507E-2</v>
      </c>
      <c r="E5" s="113">
        <f>newslbcalc!F37</f>
        <v>5.4960081726289634E-3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Foglio33">
    <tabColor rgb="FF00B0F0"/>
  </sheetPr>
  <dimension ref="A1:AA68"/>
  <sheetViews>
    <sheetView showGridLines="0" zoomScale="70" zoomScaleNormal="70" workbookViewId="0">
      <selection activeCell="C6" sqref="C6"/>
    </sheetView>
  </sheetViews>
  <sheetFormatPr defaultColWidth="9.140625" defaultRowHeight="15" x14ac:dyDescent="0.25"/>
  <cols>
    <col min="1" max="2" width="4.28515625" style="192" customWidth="1"/>
    <col min="3" max="3" width="47.85546875" style="192" bestFit="1" customWidth="1"/>
    <col min="4" max="4" width="22.7109375" style="192" bestFit="1" customWidth="1"/>
    <col min="5" max="5" width="32.5703125" style="192" customWidth="1"/>
    <col min="6" max="7" width="18.5703125" style="192" bestFit="1" customWidth="1"/>
    <col min="8" max="19" width="12.42578125" style="192" bestFit="1" customWidth="1"/>
    <col min="20" max="20" width="12.42578125" style="192" bestFit="1" customWidth="1" collapsed="1"/>
    <col min="21" max="22" width="12.42578125" style="192" bestFit="1" customWidth="1"/>
    <col min="23" max="23" width="14.42578125" style="192" bestFit="1" customWidth="1"/>
    <col min="24" max="24" width="15" style="192" bestFit="1" customWidth="1"/>
    <col min="25" max="16384" width="9.140625" style="192"/>
  </cols>
  <sheetData>
    <row r="1" spans="3:23" ht="15.75" thickBot="1" x14ac:dyDescent="0.3">
      <c r="C1" s="151" t="s">
        <v>60</v>
      </c>
      <c r="D1" s="194"/>
      <c r="E1" s="194"/>
      <c r="F1" s="195"/>
      <c r="G1" s="196"/>
      <c r="H1" s="195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5"/>
    </row>
    <row r="2" spans="3:23" ht="15.75" thickTop="1" x14ac:dyDescent="0.25">
      <c r="C2" s="152" t="s">
        <v>130</v>
      </c>
      <c r="D2" s="195"/>
      <c r="E2" s="153">
        <v>10000000</v>
      </c>
      <c r="F2" s="195"/>
      <c r="G2" s="196"/>
      <c r="H2" s="195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5"/>
    </row>
    <row r="3" spans="3:23" x14ac:dyDescent="0.25">
      <c r="C3" s="152" t="s">
        <v>131</v>
      </c>
      <c r="D3" s="195"/>
      <c r="E3" s="153">
        <v>7000000</v>
      </c>
      <c r="F3" s="195"/>
      <c r="G3" s="196"/>
      <c r="H3" s="195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5"/>
    </row>
    <row r="4" spans="3:23" x14ac:dyDescent="0.25">
      <c r="C4" s="152" t="s">
        <v>115</v>
      </c>
      <c r="D4" s="154">
        <v>5.0000000000000001E-3</v>
      </c>
      <c r="E4" s="198">
        <f>E2*D4</f>
        <v>50000</v>
      </c>
      <c r="F4" s="195"/>
      <c r="G4" s="200"/>
      <c r="H4" s="195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5"/>
    </row>
    <row r="5" spans="3:23" x14ac:dyDescent="0.25">
      <c r="C5" s="152" t="s">
        <v>116</v>
      </c>
      <c r="D5" s="154">
        <v>0.2</v>
      </c>
      <c r="E5" s="198">
        <f>D5*E2</f>
        <v>2000000</v>
      </c>
      <c r="F5" s="195"/>
      <c r="G5" s="200"/>
      <c r="H5" s="195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5"/>
    </row>
    <row r="6" spans="3:23" x14ac:dyDescent="0.25">
      <c r="C6" s="152" t="s">
        <v>170</v>
      </c>
      <c r="D6" s="155">
        <v>18</v>
      </c>
      <c r="E6" s="198"/>
      <c r="F6" s="195"/>
      <c r="G6" s="200"/>
      <c r="H6" s="195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5"/>
    </row>
    <row r="7" spans="3:23" x14ac:dyDescent="0.25">
      <c r="C7" s="152" t="s">
        <v>117</v>
      </c>
      <c r="D7" s="154">
        <v>5.2999999999999999E-2</v>
      </c>
      <c r="E7" s="198"/>
      <c r="F7" s="195"/>
      <c r="G7" s="202"/>
      <c r="H7" s="195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5"/>
    </row>
    <row r="8" spans="3:23" x14ac:dyDescent="0.25">
      <c r="C8" s="152" t="s">
        <v>118</v>
      </c>
      <c r="D8" s="154">
        <v>0.1</v>
      </c>
      <c r="E8" s="198">
        <f>E2*D8</f>
        <v>1000000</v>
      </c>
      <c r="F8" s="195"/>
      <c r="G8" s="195"/>
      <c r="H8" s="195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5"/>
    </row>
    <row r="9" spans="3:23" x14ac:dyDescent="0.25">
      <c r="C9" s="152" t="s">
        <v>119</v>
      </c>
      <c r="D9" s="154">
        <v>0.03</v>
      </c>
      <c r="E9" s="198"/>
      <c r="F9" s="195"/>
      <c r="G9" s="195"/>
      <c r="H9" s="195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5"/>
    </row>
    <row r="10" spans="3:23" x14ac:dyDescent="0.25">
      <c r="C10" s="152" t="s">
        <v>120</v>
      </c>
      <c r="D10" s="154">
        <v>0.2</v>
      </c>
      <c r="E10" s="198"/>
      <c r="F10" s="195"/>
      <c r="G10" s="195"/>
      <c r="H10" s="195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5"/>
    </row>
    <row r="11" spans="3:23" x14ac:dyDescent="0.25">
      <c r="C11" s="188" t="s">
        <v>121</v>
      </c>
      <c r="D11" s="156">
        <v>0.04</v>
      </c>
      <c r="E11" s="205"/>
      <c r="F11" s="195"/>
      <c r="G11" s="195"/>
      <c r="H11" s="195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5"/>
    </row>
    <row r="12" spans="3:23" x14ac:dyDescent="0.25">
      <c r="C12" s="152" t="s">
        <v>122</v>
      </c>
      <c r="D12" s="154">
        <v>0.02</v>
      </c>
      <c r="E12" s="198"/>
      <c r="F12" s="195"/>
      <c r="G12" s="195"/>
      <c r="H12" s="195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5"/>
    </row>
    <row r="13" spans="3:23" x14ac:dyDescent="0.25">
      <c r="C13" s="157" t="s">
        <v>129</v>
      </c>
      <c r="D13" s="276">
        <v>0.01</v>
      </c>
      <c r="E13" s="207"/>
      <c r="F13" s="195"/>
      <c r="G13" s="195"/>
      <c r="H13" s="195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5"/>
    </row>
    <row r="14" spans="3:23" x14ac:dyDescent="0.25">
      <c r="C14" s="152" t="s">
        <v>32</v>
      </c>
      <c r="D14" s="154">
        <v>0.24</v>
      </c>
      <c r="E14" s="198"/>
      <c r="F14" s="195"/>
      <c r="G14" s="195"/>
      <c r="H14" s="195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5"/>
    </row>
    <row r="15" spans="3:23" x14ac:dyDescent="0.25">
      <c r="C15" s="152" t="s">
        <v>33</v>
      </c>
      <c r="D15" s="154">
        <v>3.9E-2</v>
      </c>
      <c r="E15" s="198"/>
      <c r="F15" s="195"/>
      <c r="G15" s="195"/>
      <c r="H15" s="195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5"/>
    </row>
    <row r="16" spans="3:23" x14ac:dyDescent="0.25">
      <c r="D16" s="195"/>
      <c r="E16" s="195"/>
      <c r="F16" s="195"/>
      <c r="G16" s="195"/>
      <c r="H16" s="195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7"/>
      <c r="U16" s="197"/>
      <c r="V16" s="197"/>
      <c r="W16" s="195"/>
    </row>
    <row r="17" spans="3:23" ht="15.75" thickBot="1" x14ac:dyDescent="0.3">
      <c r="C17" s="151" t="s">
        <v>63</v>
      </c>
      <c r="D17" s="194"/>
      <c r="E17" s="194"/>
      <c r="F17" s="197"/>
      <c r="G17" s="197"/>
      <c r="H17" s="195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5"/>
    </row>
    <row r="18" spans="3:23" ht="30.75" thickTop="1" x14ac:dyDescent="0.25">
      <c r="C18" s="152" t="s">
        <v>64</v>
      </c>
      <c r="D18" s="198">
        <f>(E2-E5-E8)</f>
        <v>7000000</v>
      </c>
      <c r="E18" s="189" t="s">
        <v>65</v>
      </c>
      <c r="F18" s="197"/>
      <c r="G18" s="197"/>
      <c r="H18" s="195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5"/>
    </row>
    <row r="19" spans="3:23" x14ac:dyDescent="0.25">
      <c r="C19" s="152" t="s">
        <v>67</v>
      </c>
      <c r="D19" s="198">
        <f>E8</f>
        <v>1000000</v>
      </c>
      <c r="E19" s="189" t="s">
        <v>68</v>
      </c>
      <c r="F19" s="197"/>
      <c r="G19" s="197"/>
      <c r="H19" s="195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5"/>
    </row>
    <row r="20" spans="3:23" ht="30" x14ac:dyDescent="0.25">
      <c r="C20" s="152" t="s">
        <v>69</v>
      </c>
      <c r="D20" s="198">
        <f>-PMT(D7,D6,D18)</f>
        <v>612939.63769711484</v>
      </c>
      <c r="E20" s="189" t="s">
        <v>70</v>
      </c>
      <c r="F20" s="197"/>
      <c r="G20" s="197"/>
      <c r="H20" s="195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5"/>
    </row>
    <row r="21" spans="3:23" x14ac:dyDescent="0.25">
      <c r="C21" s="157" t="s">
        <v>71</v>
      </c>
      <c r="D21" s="207">
        <f>D19*$D$7</f>
        <v>53000</v>
      </c>
      <c r="E21" s="277" t="s">
        <v>72</v>
      </c>
      <c r="F21" s="197"/>
      <c r="G21" s="197"/>
      <c r="H21" s="195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5"/>
    </row>
    <row r="22" spans="3:23" x14ac:dyDescent="0.25">
      <c r="C22" s="158" t="s">
        <v>73</v>
      </c>
      <c r="D22" s="209">
        <f>SUM(D20:D21)</f>
        <v>665939.63769711484</v>
      </c>
      <c r="E22" s="278" t="s">
        <v>74</v>
      </c>
      <c r="F22" s="197"/>
      <c r="G22" s="197"/>
      <c r="H22" s="195"/>
      <c r="I22" s="197"/>
      <c r="J22" s="197"/>
      <c r="K22" s="197"/>
      <c r="L22" s="197"/>
      <c r="M22" s="197"/>
      <c r="N22" s="197"/>
      <c r="O22" s="197"/>
      <c r="P22" s="197"/>
      <c r="Q22" s="197"/>
      <c r="R22" s="197"/>
      <c r="S22" s="197"/>
      <c r="T22" s="197"/>
      <c r="U22" s="197"/>
      <c r="V22" s="197"/>
      <c r="W22" s="195"/>
    </row>
    <row r="23" spans="3:23" x14ac:dyDescent="0.25">
      <c r="C23" s="208"/>
      <c r="D23" s="210"/>
      <c r="E23" s="195"/>
      <c r="F23" s="195"/>
      <c r="G23" s="195"/>
      <c r="H23" s="195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5"/>
    </row>
    <row r="24" spans="3:23" s="211" customFormat="1" x14ac:dyDescent="0.25">
      <c r="C24" s="160" t="s">
        <v>28</v>
      </c>
      <c r="D24" s="212"/>
      <c r="E24" s="213">
        <f>E5+D6*D22</f>
        <v>13986913.478548067</v>
      </c>
      <c r="F24" s="214"/>
      <c r="G24" s="198"/>
      <c r="H24" s="198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198"/>
    </row>
    <row r="25" spans="3:23" s="211" customFormat="1" x14ac:dyDescent="0.25">
      <c r="C25" s="161" t="s">
        <v>24</v>
      </c>
      <c r="D25" s="216"/>
      <c r="E25" s="201">
        <f>E2-E8</f>
        <v>9000000</v>
      </c>
      <c r="F25" s="198"/>
      <c r="G25" s="198"/>
      <c r="H25" s="198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198"/>
    </row>
    <row r="26" spans="3:23" s="211" customFormat="1" x14ac:dyDescent="0.25">
      <c r="D26" s="162" t="s">
        <v>44</v>
      </c>
      <c r="E26" s="218">
        <f>E25*D10</f>
        <v>1800000</v>
      </c>
      <c r="F26" s="198"/>
      <c r="G26" s="198"/>
      <c r="H26" s="198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198"/>
    </row>
    <row r="27" spans="3:23" s="211" customFormat="1" x14ac:dyDescent="0.25">
      <c r="D27" s="162" t="s">
        <v>43</v>
      </c>
      <c r="E27" s="218">
        <f>E25-E26</f>
        <v>7200000</v>
      </c>
      <c r="F27" s="198"/>
      <c r="G27" s="198"/>
      <c r="H27" s="198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198"/>
    </row>
    <row r="28" spans="3:23" s="211" customFormat="1" x14ac:dyDescent="0.25">
      <c r="C28" s="161" t="s">
        <v>25</v>
      </c>
      <c r="D28" s="216"/>
      <c r="E28" s="201">
        <f>E24-E25</f>
        <v>4986913.4785480667</v>
      </c>
      <c r="F28" s="198"/>
      <c r="G28" s="198"/>
      <c r="H28" s="198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198"/>
    </row>
    <row r="29" spans="3:23" s="211" customFormat="1" x14ac:dyDescent="0.25">
      <c r="C29" s="163" t="s">
        <v>41</v>
      </c>
      <c r="D29" s="220"/>
      <c r="E29" s="221">
        <f>E27+E28</f>
        <v>12186913.478548067</v>
      </c>
      <c r="F29" s="198"/>
      <c r="G29" s="198"/>
      <c r="H29" s="198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198"/>
    </row>
    <row r="30" spans="3:23" s="211" customFormat="1" x14ac:dyDescent="0.25">
      <c r="C30" s="164" t="s">
        <v>34</v>
      </c>
      <c r="D30" s="223"/>
      <c r="E30" s="224">
        <f>E29/(D6)</f>
        <v>677050.74880822597</v>
      </c>
      <c r="F30" s="198"/>
      <c r="G30" s="198"/>
      <c r="H30" s="198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198"/>
    </row>
    <row r="31" spans="3:23" s="211" customFormat="1" x14ac:dyDescent="0.25">
      <c r="C31" s="165" t="s">
        <v>39</v>
      </c>
      <c r="D31" s="226"/>
      <c r="E31" s="227">
        <f>E25/(D6)</f>
        <v>500000</v>
      </c>
      <c r="F31" s="228"/>
      <c r="G31" s="198"/>
      <c r="H31" s="198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198"/>
    </row>
    <row r="32" spans="3:23" s="211" customFormat="1" x14ac:dyDescent="0.25">
      <c r="C32" s="164" t="s">
        <v>42</v>
      </c>
      <c r="D32" s="223"/>
      <c r="E32" s="224">
        <f>E26+E8</f>
        <v>2800000</v>
      </c>
      <c r="F32" s="198"/>
      <c r="G32" s="198"/>
      <c r="H32" s="198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198"/>
    </row>
    <row r="33" spans="1:27" x14ac:dyDescent="0.25">
      <c r="D33" s="195"/>
      <c r="E33" s="198"/>
      <c r="F33" s="198"/>
      <c r="G33" s="198"/>
      <c r="H33" s="198"/>
      <c r="I33" s="198"/>
      <c r="J33" s="198"/>
      <c r="K33" s="198"/>
      <c r="L33" s="198"/>
      <c r="M33" s="198"/>
      <c r="N33" s="198"/>
      <c r="O33" s="198"/>
      <c r="P33" s="198"/>
      <c r="Q33" s="198"/>
      <c r="R33" s="198"/>
      <c r="S33" s="198"/>
      <c r="T33" s="198"/>
      <c r="U33" s="198"/>
      <c r="V33" s="198"/>
      <c r="W33" s="198"/>
    </row>
    <row r="34" spans="1:27" s="229" customFormat="1" ht="15.75" thickBot="1" x14ac:dyDescent="0.3">
      <c r="C34" s="151" t="s">
        <v>75</v>
      </c>
      <c r="D34" s="230"/>
      <c r="E34" s="166">
        <v>0</v>
      </c>
      <c r="F34" s="231">
        <f t="shared" ref="F34:W34" si="0">E34+1</f>
        <v>1</v>
      </c>
      <c r="G34" s="231">
        <f t="shared" si="0"/>
        <v>2</v>
      </c>
      <c r="H34" s="231">
        <f t="shared" si="0"/>
        <v>3</v>
      </c>
      <c r="I34" s="231">
        <f t="shared" si="0"/>
        <v>4</v>
      </c>
      <c r="J34" s="231">
        <f t="shared" si="0"/>
        <v>5</v>
      </c>
      <c r="K34" s="231">
        <f t="shared" si="0"/>
        <v>6</v>
      </c>
      <c r="L34" s="231">
        <f t="shared" si="0"/>
        <v>7</v>
      </c>
      <c r="M34" s="231">
        <f t="shared" si="0"/>
        <v>8</v>
      </c>
      <c r="N34" s="231">
        <f t="shared" si="0"/>
        <v>9</v>
      </c>
      <c r="O34" s="231">
        <f t="shared" si="0"/>
        <v>10</v>
      </c>
      <c r="P34" s="231">
        <f t="shared" si="0"/>
        <v>11</v>
      </c>
      <c r="Q34" s="231">
        <f t="shared" si="0"/>
        <v>12</v>
      </c>
      <c r="R34" s="231">
        <f t="shared" si="0"/>
        <v>13</v>
      </c>
      <c r="S34" s="231">
        <f t="shared" si="0"/>
        <v>14</v>
      </c>
      <c r="T34" s="231">
        <f t="shared" si="0"/>
        <v>15</v>
      </c>
      <c r="U34" s="231">
        <f t="shared" si="0"/>
        <v>16</v>
      </c>
      <c r="V34" s="231">
        <f t="shared" si="0"/>
        <v>17</v>
      </c>
      <c r="W34" s="231">
        <f t="shared" si="0"/>
        <v>18</v>
      </c>
      <c r="X34" s="232"/>
      <c r="Y34" s="232"/>
      <c r="Z34" s="232"/>
      <c r="AA34" s="232"/>
    </row>
    <row r="35" spans="1:27" ht="15.75" thickTop="1" x14ac:dyDescent="0.25">
      <c r="C35" s="152" t="s">
        <v>133</v>
      </c>
      <c r="D35" s="195"/>
      <c r="E35" s="198">
        <f>E2</f>
        <v>10000000</v>
      </c>
      <c r="F35" s="198"/>
      <c r="G35" s="198"/>
      <c r="H35" s="198"/>
      <c r="I35" s="198"/>
      <c r="J35" s="198"/>
      <c r="K35" s="198"/>
      <c r="L35" s="198"/>
      <c r="M35" s="198"/>
      <c r="N35" s="198"/>
      <c r="O35" s="198"/>
      <c r="P35" s="198"/>
      <c r="Q35" s="198"/>
      <c r="R35" s="198"/>
      <c r="S35" s="198"/>
      <c r="T35" s="198"/>
      <c r="U35" s="198"/>
      <c r="V35" s="198"/>
      <c r="W35" s="198"/>
    </row>
    <row r="36" spans="1:27" x14ac:dyDescent="0.25">
      <c r="C36" s="192" t="str">
        <f>C4</f>
        <v>Spese di Istruttoria</v>
      </c>
      <c r="D36" s="195"/>
      <c r="E36" s="198">
        <f>-E4</f>
        <v>-50000</v>
      </c>
      <c r="F36" s="198"/>
      <c r="G36" s="198"/>
      <c r="H36" s="198"/>
      <c r="I36" s="198"/>
      <c r="J36" s="198"/>
      <c r="K36" s="198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198"/>
      <c r="W36" s="198"/>
    </row>
    <row r="37" spans="1:27" x14ac:dyDescent="0.25">
      <c r="C37" s="152" t="s">
        <v>161</v>
      </c>
      <c r="D37" s="195"/>
      <c r="E37" s="198">
        <f>-E5</f>
        <v>-2000000</v>
      </c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8"/>
    </row>
    <row r="38" spans="1:27" x14ac:dyDescent="0.25">
      <c r="C38" s="152" t="s">
        <v>134</v>
      </c>
      <c r="D38" s="195"/>
      <c r="E38" s="198"/>
      <c r="F38" s="198">
        <f t="shared" ref="F38:W38" si="1">-$D$22</f>
        <v>-665939.63769711484</v>
      </c>
      <c r="G38" s="198">
        <f t="shared" si="1"/>
        <v>-665939.63769711484</v>
      </c>
      <c r="H38" s="198">
        <f t="shared" si="1"/>
        <v>-665939.63769711484</v>
      </c>
      <c r="I38" s="198">
        <f t="shared" si="1"/>
        <v>-665939.63769711484</v>
      </c>
      <c r="J38" s="198">
        <f t="shared" si="1"/>
        <v>-665939.63769711484</v>
      </c>
      <c r="K38" s="198">
        <f t="shared" si="1"/>
        <v>-665939.63769711484</v>
      </c>
      <c r="L38" s="198">
        <f t="shared" si="1"/>
        <v>-665939.63769711484</v>
      </c>
      <c r="M38" s="198">
        <f t="shared" si="1"/>
        <v>-665939.63769711484</v>
      </c>
      <c r="N38" s="198">
        <f t="shared" si="1"/>
        <v>-665939.63769711484</v>
      </c>
      <c r="O38" s="198">
        <f t="shared" si="1"/>
        <v>-665939.63769711484</v>
      </c>
      <c r="P38" s="198">
        <f t="shared" si="1"/>
        <v>-665939.63769711484</v>
      </c>
      <c r="Q38" s="198">
        <f t="shared" si="1"/>
        <v>-665939.63769711484</v>
      </c>
      <c r="R38" s="198">
        <f t="shared" si="1"/>
        <v>-665939.63769711484</v>
      </c>
      <c r="S38" s="198">
        <f t="shared" si="1"/>
        <v>-665939.63769711484</v>
      </c>
      <c r="T38" s="198">
        <f t="shared" si="1"/>
        <v>-665939.63769711484</v>
      </c>
      <c r="U38" s="198">
        <f t="shared" si="1"/>
        <v>-665939.63769711484</v>
      </c>
      <c r="V38" s="198">
        <f t="shared" si="1"/>
        <v>-665939.63769711484</v>
      </c>
      <c r="W38" s="198">
        <f t="shared" si="1"/>
        <v>-665939.63769711484</v>
      </c>
    </row>
    <row r="39" spans="1:27" x14ac:dyDescent="0.25">
      <c r="C39" s="157" t="s">
        <v>2</v>
      </c>
      <c r="D39" s="233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>
        <f>-E8</f>
        <v>-1000000</v>
      </c>
    </row>
    <row r="40" spans="1:27" x14ac:dyDescent="0.25">
      <c r="A40" s="234"/>
      <c r="B40" s="234"/>
      <c r="C40" s="158" t="s">
        <v>76</v>
      </c>
      <c r="D40" s="195"/>
      <c r="E40" s="209">
        <f t="shared" ref="E40:W40" si="2">SUM(E35:E39)</f>
        <v>7950000</v>
      </c>
      <c r="F40" s="209">
        <f t="shared" si="2"/>
        <v>-665939.63769711484</v>
      </c>
      <c r="G40" s="209">
        <f t="shared" si="2"/>
        <v>-665939.63769711484</v>
      </c>
      <c r="H40" s="209">
        <f t="shared" si="2"/>
        <v>-665939.63769711484</v>
      </c>
      <c r="I40" s="209">
        <f t="shared" si="2"/>
        <v>-665939.63769711484</v>
      </c>
      <c r="J40" s="209">
        <f t="shared" si="2"/>
        <v>-665939.63769711484</v>
      </c>
      <c r="K40" s="209">
        <f t="shared" si="2"/>
        <v>-665939.63769711484</v>
      </c>
      <c r="L40" s="209">
        <f t="shared" si="2"/>
        <v>-665939.63769711484</v>
      </c>
      <c r="M40" s="209">
        <f t="shared" si="2"/>
        <v>-665939.63769711484</v>
      </c>
      <c r="N40" s="209">
        <f t="shared" si="2"/>
        <v>-665939.63769711484</v>
      </c>
      <c r="O40" s="209">
        <f t="shared" si="2"/>
        <v>-665939.63769711484</v>
      </c>
      <c r="P40" s="209">
        <f t="shared" si="2"/>
        <v>-665939.63769711484</v>
      </c>
      <c r="Q40" s="209">
        <f t="shared" si="2"/>
        <v>-665939.63769711484</v>
      </c>
      <c r="R40" s="209">
        <f t="shared" si="2"/>
        <v>-665939.63769711484</v>
      </c>
      <c r="S40" s="209">
        <f t="shared" si="2"/>
        <v>-665939.63769711484</v>
      </c>
      <c r="T40" s="209">
        <f t="shared" si="2"/>
        <v>-665939.63769711484</v>
      </c>
      <c r="U40" s="209">
        <f t="shared" si="2"/>
        <v>-665939.63769711484</v>
      </c>
      <c r="V40" s="209">
        <f t="shared" si="2"/>
        <v>-665939.63769711484</v>
      </c>
      <c r="W40" s="209">
        <f t="shared" si="2"/>
        <v>-1665939.6376971148</v>
      </c>
    </row>
    <row r="41" spans="1:27" x14ac:dyDescent="0.25">
      <c r="C41" s="167" t="s">
        <v>61</v>
      </c>
      <c r="D41" s="235"/>
      <c r="E41" s="236">
        <f>IRR(E40:W40)</f>
        <v>5.3767404926594153E-2</v>
      </c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5"/>
      <c r="U41" s="195"/>
      <c r="V41" s="195"/>
      <c r="W41" s="195"/>
    </row>
    <row r="42" spans="1:27" x14ac:dyDescent="0.25"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5"/>
      <c r="V42" s="195"/>
      <c r="W42" s="195"/>
    </row>
    <row r="43" spans="1:27" ht="15.75" thickBot="1" x14ac:dyDescent="0.3">
      <c r="C43" s="151" t="s">
        <v>77</v>
      </c>
      <c r="D43" s="237"/>
      <c r="E43" s="168" t="s">
        <v>78</v>
      </c>
      <c r="F43" s="168" t="s">
        <v>79</v>
      </c>
      <c r="G43" s="168" t="s">
        <v>80</v>
      </c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5"/>
      <c r="V43" s="195"/>
      <c r="W43" s="195"/>
    </row>
    <row r="44" spans="1:27" ht="15.75" thickTop="1" x14ac:dyDescent="0.25">
      <c r="C44" s="152" t="s">
        <v>135</v>
      </c>
      <c r="D44" s="198"/>
      <c r="E44" s="198"/>
      <c r="F44" s="198">
        <f>E30</f>
        <v>677050.74880822597</v>
      </c>
      <c r="G44" s="198">
        <f>F44*D14</f>
        <v>162492.17971397421</v>
      </c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8"/>
    </row>
    <row r="45" spans="1:27" x14ac:dyDescent="0.25">
      <c r="C45" s="157" t="s">
        <v>1</v>
      </c>
      <c r="D45" s="207"/>
      <c r="E45" s="207"/>
      <c r="F45" s="207">
        <f>E31</f>
        <v>500000</v>
      </c>
      <c r="G45" s="207">
        <f>F45*D15</f>
        <v>19500</v>
      </c>
      <c r="H45" s="198"/>
      <c r="I45" s="198"/>
      <c r="J45" s="198"/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</row>
    <row r="46" spans="1:27" x14ac:dyDescent="0.25">
      <c r="C46" s="167" t="s">
        <v>83</v>
      </c>
      <c r="D46" s="214"/>
      <c r="E46" s="214"/>
      <c r="F46" s="238"/>
      <c r="G46" s="214">
        <f>SUM(G44:G45)</f>
        <v>181992.17971397421</v>
      </c>
      <c r="H46" s="198"/>
      <c r="I46" s="198"/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</row>
    <row r="47" spans="1:27" x14ac:dyDescent="0.25">
      <c r="C47" s="169" t="s">
        <v>136</v>
      </c>
      <c r="D47" s="240">
        <f>D9*E3</f>
        <v>210000</v>
      </c>
      <c r="E47" s="240">
        <f>D47*$D$10</f>
        <v>42000</v>
      </c>
      <c r="F47" s="240">
        <f>D47-E47</f>
        <v>168000</v>
      </c>
      <c r="G47" s="240">
        <f>-F47*(D14+D15)</f>
        <v>-46871.999999999993</v>
      </c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</row>
    <row r="48" spans="1:27" x14ac:dyDescent="0.25">
      <c r="C48" s="158" t="s">
        <v>84</v>
      </c>
      <c r="D48" s="198"/>
      <c r="E48" s="198"/>
      <c r="F48" s="209"/>
      <c r="G48" s="209">
        <f>G46+G47</f>
        <v>135120.17971397421</v>
      </c>
      <c r="H48" s="198"/>
      <c r="I48" s="198"/>
      <c r="J48" s="198"/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</row>
    <row r="49" spans="3:27" x14ac:dyDescent="0.25"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98"/>
      <c r="P49" s="198"/>
      <c r="Q49" s="198"/>
      <c r="R49" s="198"/>
      <c r="S49" s="198"/>
      <c r="T49" s="198"/>
      <c r="U49" s="198"/>
      <c r="V49" s="198"/>
      <c r="W49" s="198"/>
    </row>
    <row r="50" spans="3:27" s="229" customFormat="1" x14ac:dyDescent="0.25">
      <c r="C50" s="158" t="s">
        <v>85</v>
      </c>
      <c r="D50" s="241"/>
      <c r="E50" s="170">
        <v>0</v>
      </c>
      <c r="F50" s="242">
        <f t="shared" ref="F50:W50" si="3">E50+1</f>
        <v>1</v>
      </c>
      <c r="G50" s="242">
        <f t="shared" si="3"/>
        <v>2</v>
      </c>
      <c r="H50" s="242">
        <f t="shared" si="3"/>
        <v>3</v>
      </c>
      <c r="I50" s="242">
        <f t="shared" si="3"/>
        <v>4</v>
      </c>
      <c r="J50" s="242">
        <f t="shared" si="3"/>
        <v>5</v>
      </c>
      <c r="K50" s="242">
        <f t="shared" si="3"/>
        <v>6</v>
      </c>
      <c r="L50" s="242">
        <f t="shared" si="3"/>
        <v>7</v>
      </c>
      <c r="M50" s="242">
        <f t="shared" si="3"/>
        <v>8</v>
      </c>
      <c r="N50" s="242">
        <f t="shared" si="3"/>
        <v>9</v>
      </c>
      <c r="O50" s="242">
        <f t="shared" si="3"/>
        <v>10</v>
      </c>
      <c r="P50" s="242">
        <f t="shared" si="3"/>
        <v>11</v>
      </c>
      <c r="Q50" s="242">
        <f t="shared" si="3"/>
        <v>12</v>
      </c>
      <c r="R50" s="242">
        <f t="shared" si="3"/>
        <v>13</v>
      </c>
      <c r="S50" s="242">
        <f t="shared" si="3"/>
        <v>14</v>
      </c>
      <c r="T50" s="242">
        <f t="shared" si="3"/>
        <v>15</v>
      </c>
      <c r="U50" s="242">
        <f t="shared" si="3"/>
        <v>16</v>
      </c>
      <c r="V50" s="242">
        <f t="shared" si="3"/>
        <v>17</v>
      </c>
      <c r="W50" s="242">
        <f t="shared" si="3"/>
        <v>18</v>
      </c>
      <c r="X50" s="232"/>
      <c r="Y50" s="232"/>
      <c r="Z50" s="232"/>
      <c r="AA50" s="232"/>
    </row>
    <row r="51" spans="3:27" x14ac:dyDescent="0.25">
      <c r="C51" s="203" t="str">
        <f>C40</f>
        <v>Flusso Contrattuale</v>
      </c>
      <c r="D51" s="205"/>
      <c r="E51" s="205">
        <f t="shared" ref="E51:T51" si="4">E40</f>
        <v>7950000</v>
      </c>
      <c r="F51" s="205">
        <f t="shared" si="4"/>
        <v>-665939.63769711484</v>
      </c>
      <c r="G51" s="205">
        <f t="shared" si="4"/>
        <v>-665939.63769711484</v>
      </c>
      <c r="H51" s="205">
        <f t="shared" si="4"/>
        <v>-665939.63769711484</v>
      </c>
      <c r="I51" s="205">
        <f t="shared" si="4"/>
        <v>-665939.63769711484</v>
      </c>
      <c r="J51" s="205">
        <f t="shared" si="4"/>
        <v>-665939.63769711484</v>
      </c>
      <c r="K51" s="205">
        <f t="shared" si="4"/>
        <v>-665939.63769711484</v>
      </c>
      <c r="L51" s="205">
        <f t="shared" si="4"/>
        <v>-665939.63769711484</v>
      </c>
      <c r="M51" s="205">
        <f t="shared" si="4"/>
        <v>-665939.63769711484</v>
      </c>
      <c r="N51" s="205">
        <f t="shared" si="4"/>
        <v>-665939.63769711484</v>
      </c>
      <c r="O51" s="205">
        <f t="shared" si="4"/>
        <v>-665939.63769711484</v>
      </c>
      <c r="P51" s="205">
        <f t="shared" si="4"/>
        <v>-665939.63769711484</v>
      </c>
      <c r="Q51" s="205">
        <f t="shared" si="4"/>
        <v>-665939.63769711484</v>
      </c>
      <c r="R51" s="205">
        <f t="shared" si="4"/>
        <v>-665939.63769711484</v>
      </c>
      <c r="S51" s="205">
        <f t="shared" si="4"/>
        <v>-665939.63769711484</v>
      </c>
      <c r="T51" s="205">
        <f t="shared" si="4"/>
        <v>-665939.63769711484</v>
      </c>
      <c r="U51" s="205">
        <f t="shared" ref="U51:W51" si="5">U40</f>
        <v>-665939.63769711484</v>
      </c>
      <c r="V51" s="205">
        <f t="shared" si="5"/>
        <v>-665939.63769711484</v>
      </c>
      <c r="W51" s="205">
        <f t="shared" si="5"/>
        <v>-1665939.6376971148</v>
      </c>
    </row>
    <row r="52" spans="3:27" x14ac:dyDescent="0.25">
      <c r="C52" s="152" t="s">
        <v>105</v>
      </c>
      <c r="D52" s="198"/>
      <c r="E52" s="198">
        <f>-(E2-E3)*SUM(D14:D15)</f>
        <v>-836999.99999999988</v>
      </c>
      <c r="F52" s="198"/>
      <c r="G52" s="198"/>
      <c r="H52" s="198"/>
      <c r="I52" s="198"/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</row>
    <row r="53" spans="3:27" x14ac:dyDescent="0.25">
      <c r="C53" s="152" t="s">
        <v>162</v>
      </c>
      <c r="D53" s="198"/>
      <c r="E53" s="198">
        <f>E2*D11</f>
        <v>400000</v>
      </c>
      <c r="F53" s="198"/>
      <c r="G53" s="198"/>
      <c r="H53" s="198"/>
      <c r="I53" s="198"/>
      <c r="J53" s="198"/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8"/>
    </row>
    <row r="54" spans="3:27" x14ac:dyDescent="0.25">
      <c r="C54" s="157" t="s">
        <v>87</v>
      </c>
      <c r="D54" s="207"/>
      <c r="E54" s="207">
        <f t="shared" ref="E54:W54" si="6">$G$48</f>
        <v>135120.17971397421</v>
      </c>
      <c r="F54" s="207">
        <f t="shared" si="6"/>
        <v>135120.17971397421</v>
      </c>
      <c r="G54" s="207">
        <f t="shared" si="6"/>
        <v>135120.17971397421</v>
      </c>
      <c r="H54" s="207">
        <f t="shared" si="6"/>
        <v>135120.17971397421</v>
      </c>
      <c r="I54" s="207">
        <f t="shared" si="6"/>
        <v>135120.17971397421</v>
      </c>
      <c r="J54" s="207">
        <f t="shared" si="6"/>
        <v>135120.17971397421</v>
      </c>
      <c r="K54" s="207">
        <f t="shared" si="6"/>
        <v>135120.17971397421</v>
      </c>
      <c r="L54" s="207">
        <f t="shared" si="6"/>
        <v>135120.17971397421</v>
      </c>
      <c r="M54" s="207">
        <f t="shared" si="6"/>
        <v>135120.17971397421</v>
      </c>
      <c r="N54" s="207">
        <f t="shared" si="6"/>
        <v>135120.17971397421</v>
      </c>
      <c r="O54" s="207">
        <f t="shared" si="6"/>
        <v>135120.17971397421</v>
      </c>
      <c r="P54" s="207">
        <f t="shared" si="6"/>
        <v>135120.17971397421</v>
      </c>
      <c r="Q54" s="207">
        <f t="shared" si="6"/>
        <v>135120.17971397421</v>
      </c>
      <c r="R54" s="207">
        <f t="shared" si="6"/>
        <v>135120.17971397421</v>
      </c>
      <c r="S54" s="207">
        <f t="shared" si="6"/>
        <v>135120.17971397421</v>
      </c>
      <c r="T54" s="207">
        <f t="shared" si="6"/>
        <v>135120.17971397421</v>
      </c>
      <c r="U54" s="207">
        <f t="shared" si="6"/>
        <v>135120.17971397421</v>
      </c>
      <c r="V54" s="207">
        <f t="shared" si="6"/>
        <v>135120.17971397421</v>
      </c>
      <c r="W54" s="207">
        <f t="shared" si="6"/>
        <v>135120.17971397421</v>
      </c>
    </row>
    <row r="55" spans="3:27" x14ac:dyDescent="0.25">
      <c r="C55" s="158" t="s">
        <v>88</v>
      </c>
      <c r="D55" s="209"/>
      <c r="E55" s="209">
        <f>SUM(E51:E54)</f>
        <v>7648120.1797139738</v>
      </c>
      <c r="F55" s="209">
        <f t="shared" ref="F55:T55" si="7">SUM(F51:F54)</f>
        <v>-530819.4579831406</v>
      </c>
      <c r="G55" s="209">
        <f t="shared" si="7"/>
        <v>-530819.4579831406</v>
      </c>
      <c r="H55" s="209">
        <f t="shared" si="7"/>
        <v>-530819.4579831406</v>
      </c>
      <c r="I55" s="209">
        <f t="shared" si="7"/>
        <v>-530819.4579831406</v>
      </c>
      <c r="J55" s="209">
        <f t="shared" si="7"/>
        <v>-530819.4579831406</v>
      </c>
      <c r="K55" s="209">
        <f t="shared" si="7"/>
        <v>-530819.4579831406</v>
      </c>
      <c r="L55" s="209">
        <f t="shared" si="7"/>
        <v>-530819.4579831406</v>
      </c>
      <c r="M55" s="209">
        <f t="shared" si="7"/>
        <v>-530819.4579831406</v>
      </c>
      <c r="N55" s="209">
        <f t="shared" si="7"/>
        <v>-530819.4579831406</v>
      </c>
      <c r="O55" s="209">
        <f t="shared" si="7"/>
        <v>-530819.4579831406</v>
      </c>
      <c r="P55" s="209">
        <f t="shared" si="7"/>
        <v>-530819.4579831406</v>
      </c>
      <c r="Q55" s="209">
        <f t="shared" si="7"/>
        <v>-530819.4579831406</v>
      </c>
      <c r="R55" s="209">
        <f t="shared" si="7"/>
        <v>-530819.4579831406</v>
      </c>
      <c r="S55" s="209">
        <f t="shared" si="7"/>
        <v>-530819.4579831406</v>
      </c>
      <c r="T55" s="209">
        <f t="shared" si="7"/>
        <v>-530819.4579831406</v>
      </c>
      <c r="U55" s="209">
        <f t="shared" ref="U55:W55" si="8">SUM(U51:U54)</f>
        <v>-530819.4579831406</v>
      </c>
      <c r="V55" s="209">
        <f t="shared" si="8"/>
        <v>-530819.4579831406</v>
      </c>
      <c r="W55" s="209">
        <f t="shared" si="8"/>
        <v>-1530819.4579831406</v>
      </c>
    </row>
    <row r="56" spans="3:27" x14ac:dyDescent="0.25">
      <c r="C56" s="158" t="s">
        <v>62</v>
      </c>
      <c r="D56" s="195"/>
      <c r="E56" s="243">
        <f>IRR(E55:W55)</f>
        <v>3.3408170540267346E-2</v>
      </c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95"/>
      <c r="R56" s="195"/>
      <c r="S56" s="195"/>
      <c r="T56" s="195"/>
      <c r="U56" s="195"/>
      <c r="V56" s="195"/>
      <c r="W56" s="195"/>
    </row>
    <row r="57" spans="3:27" x14ac:dyDescent="0.25">
      <c r="D57" s="195"/>
      <c r="E57" s="195"/>
      <c r="F57" s="195"/>
      <c r="G57" s="195"/>
      <c r="H57" s="195"/>
      <c r="I57" s="195"/>
      <c r="J57" s="195"/>
      <c r="K57" s="195"/>
      <c r="L57" s="195"/>
      <c r="M57" s="195"/>
      <c r="N57" s="195"/>
      <c r="O57" s="195"/>
      <c r="P57" s="195"/>
      <c r="Q57" s="195"/>
      <c r="R57" s="195"/>
      <c r="S57" s="195"/>
      <c r="T57" s="195"/>
      <c r="U57" s="195"/>
      <c r="V57" s="195"/>
      <c r="W57" s="195"/>
    </row>
    <row r="58" spans="3:27" ht="15.75" thickBot="1" x14ac:dyDescent="0.3">
      <c r="C58" s="151" t="s">
        <v>89</v>
      </c>
      <c r="D58" s="194"/>
      <c r="E58" s="168" t="s">
        <v>79</v>
      </c>
      <c r="F58" s="168" t="s">
        <v>80</v>
      </c>
      <c r="G58" s="195"/>
      <c r="H58" s="195"/>
      <c r="I58" s="195"/>
      <c r="J58" s="195"/>
      <c r="K58" s="195"/>
      <c r="L58" s="195"/>
      <c r="M58" s="195"/>
      <c r="N58" s="195"/>
      <c r="O58" s="195"/>
      <c r="P58" s="195"/>
      <c r="Q58" s="195"/>
      <c r="R58" s="195"/>
      <c r="S58" s="195"/>
      <c r="T58" s="195"/>
      <c r="U58" s="195"/>
      <c r="V58" s="195"/>
      <c r="W58" s="195"/>
    </row>
    <row r="59" spans="3:27" ht="15.75" thickTop="1" x14ac:dyDescent="0.25">
      <c r="C59" s="152" t="s">
        <v>90</v>
      </c>
      <c r="D59" s="195"/>
      <c r="E59" s="198">
        <f>E32+E26</f>
        <v>4600000</v>
      </c>
      <c r="F59" s="198"/>
      <c r="G59" s="198"/>
      <c r="H59" s="198"/>
      <c r="I59" s="198"/>
      <c r="J59" s="198"/>
      <c r="K59" s="198"/>
      <c r="L59" s="198"/>
      <c r="M59" s="198"/>
      <c r="N59" s="198"/>
      <c r="O59" s="198"/>
      <c r="P59" s="198"/>
      <c r="Q59" s="198"/>
      <c r="R59" s="198"/>
      <c r="S59" s="198"/>
      <c r="T59" s="198"/>
      <c r="U59" s="198"/>
      <c r="V59" s="198"/>
      <c r="W59" s="198"/>
    </row>
    <row r="60" spans="3:27" x14ac:dyDescent="0.25">
      <c r="C60" s="152" t="s">
        <v>128</v>
      </c>
      <c r="D60" s="195"/>
      <c r="E60" s="198">
        <f>E3-D47*(D6+1)</f>
        <v>3010000</v>
      </c>
      <c r="F60" s="198"/>
      <c r="G60" s="198"/>
      <c r="H60" s="198"/>
      <c r="I60" s="198"/>
      <c r="J60" s="198"/>
      <c r="K60" s="198"/>
      <c r="L60" s="198"/>
      <c r="M60" s="198"/>
      <c r="N60" s="198"/>
      <c r="O60" s="198"/>
      <c r="P60" s="198"/>
      <c r="Q60" s="198"/>
      <c r="R60" s="198"/>
      <c r="S60" s="198"/>
      <c r="T60" s="198"/>
      <c r="U60" s="198"/>
      <c r="V60" s="198"/>
      <c r="W60" s="198"/>
    </row>
    <row r="61" spans="3:27" x14ac:dyDescent="0.25">
      <c r="C61" s="157" t="s">
        <v>92</v>
      </c>
      <c r="D61" s="233"/>
      <c r="E61" s="207">
        <f>E60-E59</f>
        <v>-1590000</v>
      </c>
      <c r="F61" s="207"/>
      <c r="G61" s="198"/>
      <c r="H61" s="198"/>
      <c r="I61" s="198"/>
      <c r="J61" s="198"/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8"/>
      <c r="V61" s="198"/>
      <c r="W61" s="198"/>
    </row>
    <row r="62" spans="3:27" x14ac:dyDescent="0.25">
      <c r="C62" s="158" t="s">
        <v>93</v>
      </c>
      <c r="D62" s="195"/>
      <c r="E62" s="198"/>
      <c r="F62" s="209">
        <f>E61*(SUM(D14:D15))</f>
        <v>-443609.99999999994</v>
      </c>
      <c r="G62" s="198"/>
      <c r="H62" s="198"/>
      <c r="I62" s="198"/>
      <c r="J62" s="198"/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</row>
    <row r="63" spans="3:27" x14ac:dyDescent="0.25">
      <c r="D63" s="195"/>
      <c r="E63" s="198"/>
      <c r="F63" s="198"/>
      <c r="G63" s="198"/>
      <c r="H63" s="198"/>
      <c r="I63" s="198"/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198"/>
      <c r="W63" s="198"/>
    </row>
    <row r="64" spans="3:27" s="229" customFormat="1" x14ac:dyDescent="0.25">
      <c r="C64" s="158" t="s">
        <v>94</v>
      </c>
      <c r="D64" s="233"/>
      <c r="E64" s="170">
        <v>0</v>
      </c>
      <c r="F64" s="242">
        <f t="shared" ref="F64:W64" si="9">E64+1</f>
        <v>1</v>
      </c>
      <c r="G64" s="242">
        <f t="shared" si="9"/>
        <v>2</v>
      </c>
      <c r="H64" s="242">
        <f t="shared" si="9"/>
        <v>3</v>
      </c>
      <c r="I64" s="242">
        <f t="shared" si="9"/>
        <v>4</v>
      </c>
      <c r="J64" s="242">
        <f t="shared" si="9"/>
        <v>5</v>
      </c>
      <c r="K64" s="242">
        <f t="shared" si="9"/>
        <v>6</v>
      </c>
      <c r="L64" s="242">
        <f t="shared" si="9"/>
        <v>7</v>
      </c>
      <c r="M64" s="242">
        <f t="shared" si="9"/>
        <v>8</v>
      </c>
      <c r="N64" s="242">
        <f t="shared" si="9"/>
        <v>9</v>
      </c>
      <c r="O64" s="242">
        <f t="shared" si="9"/>
        <v>10</v>
      </c>
      <c r="P64" s="242">
        <f t="shared" si="9"/>
        <v>11</v>
      </c>
      <c r="Q64" s="242">
        <f t="shared" si="9"/>
        <v>12</v>
      </c>
      <c r="R64" s="242">
        <f t="shared" si="9"/>
        <v>13</v>
      </c>
      <c r="S64" s="242">
        <f t="shared" si="9"/>
        <v>14</v>
      </c>
      <c r="T64" s="242">
        <f t="shared" si="9"/>
        <v>15</v>
      </c>
      <c r="U64" s="242">
        <f t="shared" si="9"/>
        <v>16</v>
      </c>
      <c r="V64" s="242">
        <f t="shared" si="9"/>
        <v>17</v>
      </c>
      <c r="W64" s="242">
        <f t="shared" si="9"/>
        <v>18</v>
      </c>
      <c r="X64" s="232"/>
      <c r="Y64" s="232"/>
      <c r="Z64" s="232"/>
      <c r="AA64" s="232"/>
    </row>
    <row r="65" spans="3:23" x14ac:dyDescent="0.25">
      <c r="C65" s="203" t="str">
        <f>C55</f>
        <v>Flusso Leasing Fiscale</v>
      </c>
      <c r="D65" s="244"/>
      <c r="E65" s="205">
        <f t="shared" ref="E65:T65" si="10">E55</f>
        <v>7648120.1797139738</v>
      </c>
      <c r="F65" s="205">
        <f t="shared" si="10"/>
        <v>-530819.4579831406</v>
      </c>
      <c r="G65" s="205">
        <f t="shared" si="10"/>
        <v>-530819.4579831406</v>
      </c>
      <c r="H65" s="205">
        <f t="shared" si="10"/>
        <v>-530819.4579831406</v>
      </c>
      <c r="I65" s="205">
        <f t="shared" si="10"/>
        <v>-530819.4579831406</v>
      </c>
      <c r="J65" s="205">
        <f t="shared" si="10"/>
        <v>-530819.4579831406</v>
      </c>
      <c r="K65" s="205">
        <f t="shared" si="10"/>
        <v>-530819.4579831406</v>
      </c>
      <c r="L65" s="205">
        <f t="shared" si="10"/>
        <v>-530819.4579831406</v>
      </c>
      <c r="M65" s="205">
        <f t="shared" si="10"/>
        <v>-530819.4579831406</v>
      </c>
      <c r="N65" s="205">
        <f t="shared" si="10"/>
        <v>-530819.4579831406</v>
      </c>
      <c r="O65" s="205">
        <f t="shared" si="10"/>
        <v>-530819.4579831406</v>
      </c>
      <c r="P65" s="205">
        <f t="shared" si="10"/>
        <v>-530819.4579831406</v>
      </c>
      <c r="Q65" s="205">
        <f t="shared" si="10"/>
        <v>-530819.4579831406</v>
      </c>
      <c r="R65" s="205">
        <f t="shared" si="10"/>
        <v>-530819.4579831406</v>
      </c>
      <c r="S65" s="205">
        <f t="shared" si="10"/>
        <v>-530819.4579831406</v>
      </c>
      <c r="T65" s="205">
        <f t="shared" si="10"/>
        <v>-530819.4579831406</v>
      </c>
      <c r="U65" s="205">
        <f t="shared" ref="U65:W65" si="11">U55</f>
        <v>-530819.4579831406</v>
      </c>
      <c r="V65" s="205">
        <f t="shared" si="11"/>
        <v>-530819.4579831406</v>
      </c>
      <c r="W65" s="205">
        <f t="shared" si="11"/>
        <v>-1530819.4579831406</v>
      </c>
    </row>
    <row r="66" spans="3:23" x14ac:dyDescent="0.25">
      <c r="C66" s="157" t="s">
        <v>93</v>
      </c>
      <c r="D66" s="233"/>
      <c r="E66" s="207"/>
      <c r="F66" s="207"/>
      <c r="G66" s="207"/>
      <c r="H66" s="207"/>
      <c r="I66" s="207"/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>
        <f>-F62</f>
        <v>443609.99999999994</v>
      </c>
    </row>
    <row r="67" spans="3:23" x14ac:dyDescent="0.25">
      <c r="C67" s="158" t="s">
        <v>95</v>
      </c>
      <c r="D67" s="210"/>
      <c r="E67" s="209">
        <f t="shared" ref="E67:T67" si="12">SUM(E65:E66)</f>
        <v>7648120.1797139738</v>
      </c>
      <c r="F67" s="209">
        <f t="shared" si="12"/>
        <v>-530819.4579831406</v>
      </c>
      <c r="G67" s="209">
        <f t="shared" si="12"/>
        <v>-530819.4579831406</v>
      </c>
      <c r="H67" s="209">
        <f t="shared" si="12"/>
        <v>-530819.4579831406</v>
      </c>
      <c r="I67" s="209">
        <f t="shared" si="12"/>
        <v>-530819.4579831406</v>
      </c>
      <c r="J67" s="209">
        <f t="shared" si="12"/>
        <v>-530819.4579831406</v>
      </c>
      <c r="K67" s="209">
        <f t="shared" si="12"/>
        <v>-530819.4579831406</v>
      </c>
      <c r="L67" s="209">
        <f t="shared" si="12"/>
        <v>-530819.4579831406</v>
      </c>
      <c r="M67" s="209">
        <f t="shared" si="12"/>
        <v>-530819.4579831406</v>
      </c>
      <c r="N67" s="209">
        <f t="shared" si="12"/>
        <v>-530819.4579831406</v>
      </c>
      <c r="O67" s="209">
        <f t="shared" si="12"/>
        <v>-530819.4579831406</v>
      </c>
      <c r="P67" s="209">
        <f t="shared" si="12"/>
        <v>-530819.4579831406</v>
      </c>
      <c r="Q67" s="209">
        <f t="shared" si="12"/>
        <v>-530819.4579831406</v>
      </c>
      <c r="R67" s="209">
        <f t="shared" si="12"/>
        <v>-530819.4579831406</v>
      </c>
      <c r="S67" s="209">
        <f t="shared" si="12"/>
        <v>-530819.4579831406</v>
      </c>
      <c r="T67" s="209">
        <f t="shared" si="12"/>
        <v>-530819.4579831406</v>
      </c>
      <c r="U67" s="209">
        <f t="shared" ref="U67:W67" si="13">SUM(U65:U66)</f>
        <v>-530819.4579831406</v>
      </c>
      <c r="V67" s="209">
        <f t="shared" si="13"/>
        <v>-530819.4579831406</v>
      </c>
      <c r="W67" s="209">
        <f t="shared" si="13"/>
        <v>-1087209.4579831406</v>
      </c>
    </row>
    <row r="68" spans="3:23" x14ac:dyDescent="0.25">
      <c r="C68" s="167" t="s">
        <v>66</v>
      </c>
      <c r="D68" s="235"/>
      <c r="E68" s="236">
        <f>IRR(E67:W67)</f>
        <v>2.9694124088412543E-2</v>
      </c>
      <c r="F68" s="195"/>
      <c r="G68" s="195"/>
      <c r="H68" s="195"/>
      <c r="I68" s="195"/>
      <c r="J68" s="195"/>
      <c r="K68" s="195"/>
      <c r="L68" s="195"/>
      <c r="M68" s="195"/>
      <c r="N68" s="195"/>
      <c r="O68" s="195"/>
      <c r="P68" s="195"/>
      <c r="Q68" s="195"/>
      <c r="R68" s="195"/>
      <c r="S68" s="195"/>
      <c r="T68" s="195"/>
      <c r="U68" s="195"/>
      <c r="V68" s="195"/>
      <c r="W68" s="195"/>
    </row>
  </sheetData>
  <pageMargins left="0.75" right="0.75" top="1" bottom="1" header="0.5" footer="0.5"/>
  <pageSetup paperSize="9" orientation="portrait" r:id="rId1"/>
  <headerFooter alignWithMargins="0"/>
  <ignoredErrors>
    <ignoredError sqref="F62 E5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Foglio34">
    <tabColor rgb="FF00B0F0"/>
  </sheetPr>
  <dimension ref="C1:AA68"/>
  <sheetViews>
    <sheetView showGridLines="0" zoomScale="70" zoomScaleNormal="70" workbookViewId="0">
      <selection activeCell="E32" sqref="E32"/>
    </sheetView>
  </sheetViews>
  <sheetFormatPr defaultColWidth="9.140625" defaultRowHeight="15" x14ac:dyDescent="0.25"/>
  <cols>
    <col min="1" max="2" width="9.140625" style="192"/>
    <col min="3" max="3" width="59.140625" style="192" bestFit="1" customWidth="1"/>
    <col min="4" max="4" width="22.7109375" style="192" bestFit="1" customWidth="1"/>
    <col min="5" max="5" width="29.28515625" style="192" bestFit="1" customWidth="1"/>
    <col min="6" max="7" width="18.5703125" style="192" bestFit="1" customWidth="1"/>
    <col min="8" max="19" width="12.42578125" style="192" bestFit="1" customWidth="1"/>
    <col min="20" max="20" width="12.42578125" style="192" bestFit="1" customWidth="1" collapsed="1"/>
    <col min="21" max="22" width="12.42578125" style="192" bestFit="1" customWidth="1"/>
    <col min="23" max="23" width="14.42578125" style="192" bestFit="1" customWidth="1"/>
    <col min="24" max="24" width="15" style="192" bestFit="1" customWidth="1"/>
    <col min="25" max="16384" width="9.140625" style="192"/>
  </cols>
  <sheetData>
    <row r="1" spans="3:23" ht="15.75" thickBot="1" x14ac:dyDescent="0.3">
      <c r="C1" s="151" t="s">
        <v>60</v>
      </c>
      <c r="D1" s="194"/>
      <c r="E1" s="194"/>
      <c r="F1" s="195"/>
      <c r="G1" s="196"/>
      <c r="H1" s="195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5"/>
    </row>
    <row r="2" spans="3:23" ht="15.75" thickTop="1" x14ac:dyDescent="0.25">
      <c r="C2" s="152" t="s">
        <v>130</v>
      </c>
      <c r="D2" s="195"/>
      <c r="E2" s="171">
        <f>'new slb1'!E2</f>
        <v>10000000</v>
      </c>
      <c r="F2" s="195"/>
      <c r="G2" s="196"/>
      <c r="H2" s="195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5"/>
    </row>
    <row r="3" spans="3:23" x14ac:dyDescent="0.25">
      <c r="C3" s="152" t="s">
        <v>131</v>
      </c>
      <c r="D3" s="195"/>
      <c r="E3" s="153">
        <v>4000000</v>
      </c>
      <c r="F3" s="195"/>
      <c r="G3" s="196"/>
      <c r="H3" s="195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5"/>
    </row>
    <row r="4" spans="3:23" x14ac:dyDescent="0.25">
      <c r="C4" s="152" t="s">
        <v>115</v>
      </c>
      <c r="D4" s="282">
        <f>'new slb1'!D4</f>
        <v>5.0000000000000001E-3</v>
      </c>
      <c r="E4" s="198">
        <f>E2*D4</f>
        <v>50000</v>
      </c>
      <c r="F4" s="195"/>
      <c r="G4" s="200"/>
      <c r="H4" s="195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5"/>
    </row>
    <row r="5" spans="3:23" x14ac:dyDescent="0.25">
      <c r="C5" s="152" t="s">
        <v>116</v>
      </c>
      <c r="D5" s="282">
        <f>'new slb1'!D5</f>
        <v>0.2</v>
      </c>
      <c r="E5" s="198">
        <f>D5*E2</f>
        <v>2000000</v>
      </c>
      <c r="F5" s="195"/>
      <c r="G5" s="200"/>
      <c r="H5" s="195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5"/>
    </row>
    <row r="6" spans="3:23" x14ac:dyDescent="0.25">
      <c r="C6" s="152" t="s">
        <v>170</v>
      </c>
      <c r="D6" s="283">
        <f>'new slb1'!D6</f>
        <v>18</v>
      </c>
      <c r="E6" s="198"/>
      <c r="F6" s="195"/>
      <c r="G6" s="200"/>
      <c r="H6" s="195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5"/>
    </row>
    <row r="7" spans="3:23" x14ac:dyDescent="0.25">
      <c r="C7" s="152" t="s">
        <v>117</v>
      </c>
      <c r="D7" s="282">
        <f>'new slb1'!D7</f>
        <v>5.2999999999999999E-2</v>
      </c>
      <c r="E7" s="198"/>
      <c r="F7" s="195"/>
      <c r="G7" s="202"/>
      <c r="H7" s="195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5"/>
    </row>
    <row r="8" spans="3:23" x14ac:dyDescent="0.25">
      <c r="C8" s="152" t="s">
        <v>118</v>
      </c>
      <c r="D8" s="282">
        <f>'new slb1'!D8</f>
        <v>0.1</v>
      </c>
      <c r="E8" s="198">
        <f>E2*D8</f>
        <v>1000000</v>
      </c>
      <c r="F8" s="195"/>
      <c r="G8" s="195"/>
      <c r="H8" s="195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5"/>
    </row>
    <row r="9" spans="3:23" x14ac:dyDescent="0.25">
      <c r="C9" s="152" t="s">
        <v>119</v>
      </c>
      <c r="D9" s="282">
        <f>'new slb1'!D9</f>
        <v>0.03</v>
      </c>
      <c r="E9" s="198"/>
      <c r="F9" s="195"/>
      <c r="G9" s="195"/>
      <c r="H9" s="195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5"/>
    </row>
    <row r="10" spans="3:23" x14ac:dyDescent="0.25">
      <c r="C10" s="152" t="s">
        <v>120</v>
      </c>
      <c r="D10" s="282">
        <f>'new slb1'!D10</f>
        <v>0.2</v>
      </c>
      <c r="E10" s="198"/>
      <c r="F10" s="195"/>
      <c r="G10" s="195"/>
      <c r="H10" s="195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5"/>
    </row>
    <row r="11" spans="3:23" x14ac:dyDescent="0.25">
      <c r="C11" s="188" t="s">
        <v>121</v>
      </c>
      <c r="D11" s="284">
        <f>'new slb1'!D11</f>
        <v>0.04</v>
      </c>
      <c r="E11" s="205"/>
      <c r="F11" s="195"/>
      <c r="G11" s="195"/>
      <c r="H11" s="195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5"/>
    </row>
    <row r="12" spans="3:23" x14ac:dyDescent="0.25">
      <c r="C12" s="152" t="s">
        <v>122</v>
      </c>
      <c r="D12" s="282">
        <f>'new slb1'!D12</f>
        <v>0.02</v>
      </c>
      <c r="E12" s="198"/>
      <c r="F12" s="195"/>
      <c r="G12" s="195"/>
      <c r="H12" s="195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5"/>
    </row>
    <row r="13" spans="3:23" x14ac:dyDescent="0.25">
      <c r="C13" s="157" t="s">
        <v>129</v>
      </c>
      <c r="D13" s="285">
        <f>'new slb1'!D13</f>
        <v>0.01</v>
      </c>
      <c r="E13" s="207"/>
      <c r="F13" s="195"/>
      <c r="G13" s="195"/>
      <c r="H13" s="195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5"/>
    </row>
    <row r="14" spans="3:23" x14ac:dyDescent="0.25">
      <c r="C14" s="152" t="s">
        <v>32</v>
      </c>
      <c r="D14" s="282">
        <f>'new slb1'!D14</f>
        <v>0.24</v>
      </c>
      <c r="E14" s="198"/>
      <c r="F14" s="195"/>
      <c r="G14" s="195"/>
      <c r="H14" s="195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5"/>
    </row>
    <row r="15" spans="3:23" x14ac:dyDescent="0.25">
      <c r="C15" s="152" t="s">
        <v>33</v>
      </c>
      <c r="D15" s="282">
        <f>'new slb1'!D15</f>
        <v>3.9E-2</v>
      </c>
      <c r="E15" s="198"/>
      <c r="F15" s="195"/>
      <c r="G15" s="195"/>
      <c r="H15" s="195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5"/>
    </row>
    <row r="16" spans="3:23" x14ac:dyDescent="0.25">
      <c r="D16" s="195"/>
      <c r="E16" s="195"/>
      <c r="F16" s="195"/>
      <c r="G16" s="195"/>
      <c r="H16" s="195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7"/>
      <c r="U16" s="197"/>
      <c r="V16" s="197"/>
      <c r="W16" s="195"/>
    </row>
    <row r="17" spans="3:23" ht="15.75" thickBot="1" x14ac:dyDescent="0.3">
      <c r="C17" s="151" t="s">
        <v>63</v>
      </c>
      <c r="D17" s="194"/>
      <c r="E17" s="194"/>
      <c r="F17" s="197"/>
      <c r="G17" s="197"/>
      <c r="H17" s="195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5"/>
    </row>
    <row r="18" spans="3:23" ht="30.75" thickTop="1" x14ac:dyDescent="0.25">
      <c r="C18" s="152" t="s">
        <v>64</v>
      </c>
      <c r="D18" s="198">
        <f>(E2-E5-E8)</f>
        <v>7000000</v>
      </c>
      <c r="E18" s="189" t="s">
        <v>65</v>
      </c>
      <c r="F18" s="197"/>
      <c r="G18" s="197"/>
      <c r="H18" s="195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5"/>
    </row>
    <row r="19" spans="3:23" x14ac:dyDescent="0.25">
      <c r="C19" s="152" t="s">
        <v>67</v>
      </c>
      <c r="D19" s="198">
        <f>E8</f>
        <v>1000000</v>
      </c>
      <c r="E19" s="189" t="s">
        <v>68</v>
      </c>
      <c r="F19" s="197"/>
      <c r="G19" s="197"/>
      <c r="H19" s="195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5"/>
    </row>
    <row r="20" spans="3:23" ht="30" x14ac:dyDescent="0.25">
      <c r="C20" s="152" t="s">
        <v>69</v>
      </c>
      <c r="D20" s="198">
        <f>-PMT(D7,D6,D18)</f>
        <v>612939.63769711484</v>
      </c>
      <c r="E20" s="189" t="s">
        <v>70</v>
      </c>
      <c r="F20" s="197"/>
      <c r="G20" s="197"/>
      <c r="H20" s="195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5"/>
    </row>
    <row r="21" spans="3:23" x14ac:dyDescent="0.25">
      <c r="C21" s="157" t="s">
        <v>71</v>
      </c>
      <c r="D21" s="207">
        <f>D19*$D$7</f>
        <v>53000</v>
      </c>
      <c r="E21" s="277" t="s">
        <v>72</v>
      </c>
      <c r="F21" s="197"/>
      <c r="G21" s="197"/>
      <c r="H21" s="195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5"/>
    </row>
    <row r="22" spans="3:23" x14ac:dyDescent="0.25">
      <c r="C22" s="158" t="s">
        <v>73</v>
      </c>
      <c r="D22" s="209">
        <f>SUM(D20:D21)</f>
        <v>665939.63769711484</v>
      </c>
      <c r="E22" s="278" t="s">
        <v>74</v>
      </c>
      <c r="F22" s="197"/>
      <c r="G22" s="197"/>
      <c r="H22" s="195"/>
      <c r="I22" s="197"/>
      <c r="J22" s="197"/>
      <c r="K22" s="197"/>
      <c r="L22" s="197"/>
      <c r="M22" s="197"/>
      <c r="N22" s="197"/>
      <c r="O22" s="197"/>
      <c r="P22" s="197"/>
      <c r="Q22" s="197"/>
      <c r="R22" s="197"/>
      <c r="S22" s="197"/>
      <c r="T22" s="197"/>
      <c r="U22" s="197"/>
      <c r="V22" s="197"/>
      <c r="W22" s="195"/>
    </row>
    <row r="23" spans="3:23" x14ac:dyDescent="0.25">
      <c r="C23" s="208"/>
      <c r="D23" s="210"/>
      <c r="E23" s="195"/>
      <c r="F23" s="195"/>
      <c r="G23" s="195"/>
      <c r="H23" s="195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5"/>
    </row>
    <row r="24" spans="3:23" s="211" customFormat="1" x14ac:dyDescent="0.25">
      <c r="C24" s="160" t="s">
        <v>28</v>
      </c>
      <c r="D24" s="212"/>
      <c r="E24" s="213">
        <f>E5+D6*D22</f>
        <v>13986913.478548067</v>
      </c>
      <c r="F24" s="214"/>
      <c r="G24" s="198"/>
      <c r="H24" s="198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198"/>
    </row>
    <row r="25" spans="3:23" s="211" customFormat="1" x14ac:dyDescent="0.25">
      <c r="C25" s="161" t="s">
        <v>24</v>
      </c>
      <c r="D25" s="216"/>
      <c r="E25" s="201">
        <f>E2-E8</f>
        <v>9000000</v>
      </c>
      <c r="F25" s="198"/>
      <c r="G25" s="198"/>
      <c r="H25" s="198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198"/>
    </row>
    <row r="26" spans="3:23" s="211" customFormat="1" x14ac:dyDescent="0.25">
      <c r="D26" s="162" t="s">
        <v>44</v>
      </c>
      <c r="E26" s="218">
        <f>E25*D10</f>
        <v>1800000</v>
      </c>
      <c r="F26" s="198"/>
      <c r="G26" s="198"/>
      <c r="H26" s="198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198"/>
    </row>
    <row r="27" spans="3:23" s="211" customFormat="1" x14ac:dyDescent="0.25">
      <c r="D27" s="162" t="s">
        <v>43</v>
      </c>
      <c r="E27" s="218">
        <f>E25-E26</f>
        <v>7200000</v>
      </c>
      <c r="F27" s="198"/>
      <c r="G27" s="198"/>
      <c r="H27" s="198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198"/>
    </row>
    <row r="28" spans="3:23" s="211" customFormat="1" x14ac:dyDescent="0.25">
      <c r="C28" s="161" t="s">
        <v>25</v>
      </c>
      <c r="D28" s="216"/>
      <c r="E28" s="201">
        <f>E24-E25</f>
        <v>4986913.4785480667</v>
      </c>
      <c r="F28" s="198"/>
      <c r="G28" s="198"/>
      <c r="H28" s="198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198"/>
    </row>
    <row r="29" spans="3:23" s="211" customFormat="1" x14ac:dyDescent="0.25">
      <c r="C29" s="163" t="s">
        <v>41</v>
      </c>
      <c r="D29" s="220"/>
      <c r="E29" s="221">
        <f>E27+E28</f>
        <v>12186913.478548067</v>
      </c>
      <c r="F29" s="198"/>
      <c r="G29" s="198"/>
      <c r="H29" s="198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198"/>
    </row>
    <row r="30" spans="3:23" s="211" customFormat="1" x14ac:dyDescent="0.25">
      <c r="C30" s="164" t="s">
        <v>34</v>
      </c>
      <c r="D30" s="223"/>
      <c r="E30" s="224">
        <f>E29/(D6)</f>
        <v>677050.74880822597</v>
      </c>
      <c r="F30" s="198"/>
      <c r="G30" s="198"/>
      <c r="H30" s="198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198"/>
    </row>
    <row r="31" spans="3:23" s="211" customFormat="1" x14ac:dyDescent="0.25">
      <c r="C31" s="165" t="s">
        <v>39</v>
      </c>
      <c r="D31" s="226"/>
      <c r="E31" s="227">
        <f>E25/(D6)</f>
        <v>500000</v>
      </c>
      <c r="F31" s="228"/>
      <c r="G31" s="198"/>
      <c r="H31" s="198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198"/>
    </row>
    <row r="32" spans="3:23" s="211" customFormat="1" x14ac:dyDescent="0.25">
      <c r="C32" s="164" t="s">
        <v>42</v>
      </c>
      <c r="D32" s="223"/>
      <c r="E32" s="224">
        <f>E26+E8</f>
        <v>2800000</v>
      </c>
      <c r="F32" s="198"/>
      <c r="G32" s="198"/>
      <c r="H32" s="198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198"/>
    </row>
    <row r="33" spans="3:27" x14ac:dyDescent="0.25">
      <c r="D33" s="195"/>
      <c r="E33" s="198"/>
      <c r="F33" s="198"/>
      <c r="G33" s="198"/>
      <c r="H33" s="198"/>
      <c r="I33" s="198"/>
      <c r="J33" s="198"/>
      <c r="K33" s="198"/>
      <c r="L33" s="198"/>
      <c r="M33" s="198"/>
      <c r="N33" s="198"/>
      <c r="O33" s="198"/>
      <c r="P33" s="198"/>
      <c r="Q33" s="198"/>
      <c r="R33" s="198"/>
      <c r="S33" s="198"/>
      <c r="T33" s="198"/>
      <c r="U33" s="198"/>
      <c r="V33" s="198"/>
      <c r="W33" s="198"/>
    </row>
    <row r="34" spans="3:27" s="229" customFormat="1" ht="15.75" thickBot="1" x14ac:dyDescent="0.3">
      <c r="C34" s="151" t="s">
        <v>75</v>
      </c>
      <c r="D34" s="230"/>
      <c r="E34" s="166">
        <v>0</v>
      </c>
      <c r="F34" s="231">
        <f t="shared" ref="F34:W34" si="0">E34+1</f>
        <v>1</v>
      </c>
      <c r="G34" s="231">
        <f t="shared" si="0"/>
        <v>2</v>
      </c>
      <c r="H34" s="231">
        <f t="shared" si="0"/>
        <v>3</v>
      </c>
      <c r="I34" s="231">
        <f t="shared" si="0"/>
        <v>4</v>
      </c>
      <c r="J34" s="231">
        <f t="shared" si="0"/>
        <v>5</v>
      </c>
      <c r="K34" s="231">
        <f t="shared" si="0"/>
        <v>6</v>
      </c>
      <c r="L34" s="231">
        <f t="shared" si="0"/>
        <v>7</v>
      </c>
      <c r="M34" s="231">
        <f t="shared" si="0"/>
        <v>8</v>
      </c>
      <c r="N34" s="231">
        <f t="shared" si="0"/>
        <v>9</v>
      </c>
      <c r="O34" s="231">
        <f t="shared" si="0"/>
        <v>10</v>
      </c>
      <c r="P34" s="231">
        <f t="shared" si="0"/>
        <v>11</v>
      </c>
      <c r="Q34" s="231">
        <f t="shared" si="0"/>
        <v>12</v>
      </c>
      <c r="R34" s="231">
        <f t="shared" si="0"/>
        <v>13</v>
      </c>
      <c r="S34" s="231">
        <f t="shared" si="0"/>
        <v>14</v>
      </c>
      <c r="T34" s="231">
        <f t="shared" si="0"/>
        <v>15</v>
      </c>
      <c r="U34" s="231">
        <f t="shared" si="0"/>
        <v>16</v>
      </c>
      <c r="V34" s="231">
        <f t="shared" si="0"/>
        <v>17</v>
      </c>
      <c r="W34" s="231">
        <f t="shared" si="0"/>
        <v>18</v>
      </c>
      <c r="X34" s="232"/>
      <c r="Y34" s="232"/>
      <c r="Z34" s="232"/>
      <c r="AA34" s="232"/>
    </row>
    <row r="35" spans="3:27" ht="15.75" thickTop="1" x14ac:dyDescent="0.25">
      <c r="C35" s="152" t="s">
        <v>133</v>
      </c>
      <c r="D35" s="195"/>
      <c r="E35" s="198">
        <f>E2</f>
        <v>10000000</v>
      </c>
      <c r="F35" s="198"/>
      <c r="G35" s="198"/>
      <c r="H35" s="198"/>
      <c r="I35" s="198"/>
      <c r="J35" s="198"/>
      <c r="K35" s="198"/>
      <c r="L35" s="198"/>
      <c r="M35" s="198"/>
      <c r="N35" s="198"/>
      <c r="O35" s="198"/>
      <c r="P35" s="198"/>
      <c r="Q35" s="198"/>
      <c r="R35" s="198"/>
      <c r="S35" s="198"/>
      <c r="T35" s="198"/>
      <c r="U35" s="198"/>
      <c r="V35" s="198"/>
      <c r="W35" s="198"/>
    </row>
    <row r="36" spans="3:27" x14ac:dyDescent="0.25">
      <c r="C36" s="192" t="str">
        <f>C4</f>
        <v>Spese di Istruttoria</v>
      </c>
      <c r="D36" s="195"/>
      <c r="E36" s="198">
        <f>-E4</f>
        <v>-50000</v>
      </c>
      <c r="F36" s="198"/>
      <c r="G36" s="198"/>
      <c r="H36" s="198"/>
      <c r="I36" s="198"/>
      <c r="J36" s="198"/>
      <c r="K36" s="198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198"/>
      <c r="W36" s="198"/>
    </row>
    <row r="37" spans="3:27" x14ac:dyDescent="0.25">
      <c r="C37" s="152" t="s">
        <v>161</v>
      </c>
      <c r="D37" s="195"/>
      <c r="E37" s="198">
        <f>-E5</f>
        <v>-2000000</v>
      </c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8"/>
    </row>
    <row r="38" spans="3:27" x14ac:dyDescent="0.25">
      <c r="C38" s="152" t="s">
        <v>134</v>
      </c>
      <c r="D38" s="195"/>
      <c r="E38" s="198"/>
      <c r="F38" s="198">
        <f t="shared" ref="F38:W38" si="1">-$D$22</f>
        <v>-665939.63769711484</v>
      </c>
      <c r="G38" s="198">
        <f t="shared" si="1"/>
        <v>-665939.63769711484</v>
      </c>
      <c r="H38" s="198">
        <f t="shared" si="1"/>
        <v>-665939.63769711484</v>
      </c>
      <c r="I38" s="198">
        <f t="shared" si="1"/>
        <v>-665939.63769711484</v>
      </c>
      <c r="J38" s="198">
        <f t="shared" si="1"/>
        <v>-665939.63769711484</v>
      </c>
      <c r="K38" s="198">
        <f t="shared" si="1"/>
        <v>-665939.63769711484</v>
      </c>
      <c r="L38" s="198">
        <f t="shared" si="1"/>
        <v>-665939.63769711484</v>
      </c>
      <c r="M38" s="198">
        <f t="shared" si="1"/>
        <v>-665939.63769711484</v>
      </c>
      <c r="N38" s="198">
        <f t="shared" si="1"/>
        <v>-665939.63769711484</v>
      </c>
      <c r="O38" s="198">
        <f t="shared" si="1"/>
        <v>-665939.63769711484</v>
      </c>
      <c r="P38" s="198">
        <f t="shared" si="1"/>
        <v>-665939.63769711484</v>
      </c>
      <c r="Q38" s="198">
        <f t="shared" si="1"/>
        <v>-665939.63769711484</v>
      </c>
      <c r="R38" s="198">
        <f t="shared" si="1"/>
        <v>-665939.63769711484</v>
      </c>
      <c r="S38" s="198">
        <f t="shared" si="1"/>
        <v>-665939.63769711484</v>
      </c>
      <c r="T38" s="198">
        <f t="shared" si="1"/>
        <v>-665939.63769711484</v>
      </c>
      <c r="U38" s="198">
        <f t="shared" si="1"/>
        <v>-665939.63769711484</v>
      </c>
      <c r="V38" s="198">
        <f t="shared" si="1"/>
        <v>-665939.63769711484</v>
      </c>
      <c r="W38" s="198">
        <f t="shared" si="1"/>
        <v>-665939.63769711484</v>
      </c>
    </row>
    <row r="39" spans="3:27" x14ac:dyDescent="0.25">
      <c r="C39" s="157" t="s">
        <v>2</v>
      </c>
      <c r="D39" s="233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>
        <f>-E8</f>
        <v>-1000000</v>
      </c>
    </row>
    <row r="40" spans="3:27" x14ac:dyDescent="0.25">
      <c r="C40" s="158" t="s">
        <v>76</v>
      </c>
      <c r="D40" s="195"/>
      <c r="E40" s="209">
        <f t="shared" ref="E40:W40" si="2">SUM(E35:E39)</f>
        <v>7950000</v>
      </c>
      <c r="F40" s="209">
        <f t="shared" si="2"/>
        <v>-665939.63769711484</v>
      </c>
      <c r="G40" s="209">
        <f t="shared" si="2"/>
        <v>-665939.63769711484</v>
      </c>
      <c r="H40" s="209">
        <f t="shared" si="2"/>
        <v>-665939.63769711484</v>
      </c>
      <c r="I40" s="209">
        <f t="shared" si="2"/>
        <v>-665939.63769711484</v>
      </c>
      <c r="J40" s="209">
        <f t="shared" si="2"/>
        <v>-665939.63769711484</v>
      </c>
      <c r="K40" s="209">
        <f t="shared" si="2"/>
        <v>-665939.63769711484</v>
      </c>
      <c r="L40" s="209">
        <f t="shared" si="2"/>
        <v>-665939.63769711484</v>
      </c>
      <c r="M40" s="209">
        <f t="shared" si="2"/>
        <v>-665939.63769711484</v>
      </c>
      <c r="N40" s="209">
        <f t="shared" si="2"/>
        <v>-665939.63769711484</v>
      </c>
      <c r="O40" s="209">
        <f t="shared" si="2"/>
        <v>-665939.63769711484</v>
      </c>
      <c r="P40" s="209">
        <f t="shared" si="2"/>
        <v>-665939.63769711484</v>
      </c>
      <c r="Q40" s="209">
        <f t="shared" si="2"/>
        <v>-665939.63769711484</v>
      </c>
      <c r="R40" s="209">
        <f t="shared" si="2"/>
        <v>-665939.63769711484</v>
      </c>
      <c r="S40" s="209">
        <f t="shared" si="2"/>
        <v>-665939.63769711484</v>
      </c>
      <c r="T40" s="209">
        <f t="shared" si="2"/>
        <v>-665939.63769711484</v>
      </c>
      <c r="U40" s="209">
        <f t="shared" si="2"/>
        <v>-665939.63769711484</v>
      </c>
      <c r="V40" s="209">
        <f t="shared" si="2"/>
        <v>-665939.63769711484</v>
      </c>
      <c r="W40" s="209">
        <f t="shared" si="2"/>
        <v>-1665939.6376971148</v>
      </c>
    </row>
    <row r="41" spans="3:27" x14ac:dyDescent="0.25">
      <c r="C41" s="167" t="s">
        <v>61</v>
      </c>
      <c r="D41" s="235"/>
      <c r="E41" s="236">
        <f>IRR(E40:W40)</f>
        <v>5.3767404926594153E-2</v>
      </c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5"/>
      <c r="U41" s="195"/>
      <c r="V41" s="195"/>
      <c r="W41" s="195"/>
    </row>
    <row r="42" spans="3:27" x14ac:dyDescent="0.25"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5"/>
      <c r="V42" s="195"/>
      <c r="W42" s="195"/>
    </row>
    <row r="43" spans="3:27" ht="15.75" thickBot="1" x14ac:dyDescent="0.3">
      <c r="C43" s="151" t="s">
        <v>77</v>
      </c>
      <c r="D43" s="237"/>
      <c r="E43" s="168" t="s">
        <v>78</v>
      </c>
      <c r="F43" s="168" t="s">
        <v>79</v>
      </c>
      <c r="G43" s="168" t="s">
        <v>80</v>
      </c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5"/>
      <c r="V43" s="195"/>
      <c r="W43" s="195"/>
    </row>
    <row r="44" spans="3:27" ht="15.75" thickTop="1" x14ac:dyDescent="0.25">
      <c r="C44" s="152" t="s">
        <v>135</v>
      </c>
      <c r="D44" s="198"/>
      <c r="E44" s="198"/>
      <c r="F44" s="198">
        <f>E30</f>
        <v>677050.74880822597</v>
      </c>
      <c r="G44" s="198">
        <f>F44*D14</f>
        <v>162492.17971397421</v>
      </c>
      <c r="H44" s="198"/>
      <c r="I44" s="198"/>
      <c r="J44" s="198"/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8"/>
    </row>
    <row r="45" spans="3:27" x14ac:dyDescent="0.25">
      <c r="C45" s="157" t="s">
        <v>1</v>
      </c>
      <c r="D45" s="207"/>
      <c r="E45" s="207"/>
      <c r="F45" s="207">
        <f>E31</f>
        <v>500000</v>
      </c>
      <c r="G45" s="207">
        <f>F45*D15</f>
        <v>19500</v>
      </c>
      <c r="H45" s="198"/>
      <c r="I45" s="198"/>
      <c r="J45" s="198"/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</row>
    <row r="46" spans="3:27" x14ac:dyDescent="0.25">
      <c r="C46" s="167" t="s">
        <v>83</v>
      </c>
      <c r="D46" s="214"/>
      <c r="E46" s="214"/>
      <c r="F46" s="238"/>
      <c r="G46" s="214">
        <f>SUM(G44:G45)</f>
        <v>181992.17971397421</v>
      </c>
      <c r="H46" s="198"/>
      <c r="I46" s="198"/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</row>
    <row r="47" spans="3:27" x14ac:dyDescent="0.25">
      <c r="C47" s="169" t="s">
        <v>136</v>
      </c>
      <c r="D47" s="240">
        <f>D9*E3</f>
        <v>120000</v>
      </c>
      <c r="E47" s="240">
        <f>D47*$D$10</f>
        <v>24000</v>
      </c>
      <c r="F47" s="240">
        <f>D47-E47</f>
        <v>96000</v>
      </c>
      <c r="G47" s="240">
        <f>-F47*(D14+D15)</f>
        <v>-26783.999999999996</v>
      </c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</row>
    <row r="48" spans="3:27" x14ac:dyDescent="0.25">
      <c r="C48" s="158" t="s">
        <v>84</v>
      </c>
      <c r="D48" s="198"/>
      <c r="E48" s="198"/>
      <c r="F48" s="209"/>
      <c r="G48" s="209">
        <f>G46+G47</f>
        <v>155208.17971397421</v>
      </c>
      <c r="H48" s="198"/>
      <c r="I48" s="198"/>
      <c r="J48" s="198"/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</row>
    <row r="49" spans="3:27" x14ac:dyDescent="0.25"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98"/>
      <c r="P49" s="198"/>
      <c r="Q49" s="198"/>
      <c r="R49" s="198"/>
      <c r="S49" s="198"/>
      <c r="T49" s="198"/>
      <c r="U49" s="198"/>
      <c r="V49" s="198"/>
      <c r="W49" s="198"/>
    </row>
    <row r="50" spans="3:27" s="229" customFormat="1" x14ac:dyDescent="0.25">
      <c r="C50" s="158" t="s">
        <v>85</v>
      </c>
      <c r="D50" s="241"/>
      <c r="E50" s="170">
        <v>0</v>
      </c>
      <c r="F50" s="242">
        <f t="shared" ref="F50:W50" si="3">E50+1</f>
        <v>1</v>
      </c>
      <c r="G50" s="242">
        <f t="shared" si="3"/>
        <v>2</v>
      </c>
      <c r="H50" s="242">
        <f t="shared" si="3"/>
        <v>3</v>
      </c>
      <c r="I50" s="242">
        <f t="shared" si="3"/>
        <v>4</v>
      </c>
      <c r="J50" s="242">
        <f t="shared" si="3"/>
        <v>5</v>
      </c>
      <c r="K50" s="242">
        <f t="shared" si="3"/>
        <v>6</v>
      </c>
      <c r="L50" s="242">
        <f t="shared" si="3"/>
        <v>7</v>
      </c>
      <c r="M50" s="242">
        <f t="shared" si="3"/>
        <v>8</v>
      </c>
      <c r="N50" s="242">
        <f t="shared" si="3"/>
        <v>9</v>
      </c>
      <c r="O50" s="242">
        <f t="shared" si="3"/>
        <v>10</v>
      </c>
      <c r="P50" s="242">
        <f t="shared" si="3"/>
        <v>11</v>
      </c>
      <c r="Q50" s="242">
        <f t="shared" si="3"/>
        <v>12</v>
      </c>
      <c r="R50" s="242">
        <f t="shared" si="3"/>
        <v>13</v>
      </c>
      <c r="S50" s="242">
        <f t="shared" si="3"/>
        <v>14</v>
      </c>
      <c r="T50" s="242">
        <f t="shared" si="3"/>
        <v>15</v>
      </c>
      <c r="U50" s="242">
        <f t="shared" si="3"/>
        <v>16</v>
      </c>
      <c r="V50" s="242">
        <f t="shared" si="3"/>
        <v>17</v>
      </c>
      <c r="W50" s="242">
        <f t="shared" si="3"/>
        <v>18</v>
      </c>
      <c r="X50" s="232"/>
      <c r="Y50" s="232"/>
      <c r="Z50" s="232"/>
      <c r="AA50" s="232"/>
    </row>
    <row r="51" spans="3:27" x14ac:dyDescent="0.25">
      <c r="C51" s="203" t="str">
        <f>C40</f>
        <v>Flusso Contrattuale</v>
      </c>
      <c r="D51" s="205"/>
      <c r="E51" s="205">
        <f t="shared" ref="E51:T51" si="4">E40</f>
        <v>7950000</v>
      </c>
      <c r="F51" s="205">
        <f t="shared" si="4"/>
        <v>-665939.63769711484</v>
      </c>
      <c r="G51" s="205">
        <f t="shared" si="4"/>
        <v>-665939.63769711484</v>
      </c>
      <c r="H51" s="205">
        <f t="shared" si="4"/>
        <v>-665939.63769711484</v>
      </c>
      <c r="I51" s="205">
        <f t="shared" si="4"/>
        <v>-665939.63769711484</v>
      </c>
      <c r="J51" s="205">
        <f t="shared" si="4"/>
        <v>-665939.63769711484</v>
      </c>
      <c r="K51" s="205">
        <f t="shared" si="4"/>
        <v>-665939.63769711484</v>
      </c>
      <c r="L51" s="205">
        <f t="shared" si="4"/>
        <v>-665939.63769711484</v>
      </c>
      <c r="M51" s="205">
        <f t="shared" si="4"/>
        <v>-665939.63769711484</v>
      </c>
      <c r="N51" s="205">
        <f t="shared" si="4"/>
        <v>-665939.63769711484</v>
      </c>
      <c r="O51" s="205">
        <f t="shared" si="4"/>
        <v>-665939.63769711484</v>
      </c>
      <c r="P51" s="205">
        <f t="shared" si="4"/>
        <v>-665939.63769711484</v>
      </c>
      <c r="Q51" s="205">
        <f t="shared" si="4"/>
        <v>-665939.63769711484</v>
      </c>
      <c r="R51" s="205">
        <f t="shared" si="4"/>
        <v>-665939.63769711484</v>
      </c>
      <c r="S51" s="205">
        <f t="shared" si="4"/>
        <v>-665939.63769711484</v>
      </c>
      <c r="T51" s="205">
        <f t="shared" si="4"/>
        <v>-665939.63769711484</v>
      </c>
      <c r="U51" s="205">
        <f t="shared" ref="U51:W51" si="5">U40</f>
        <v>-665939.63769711484</v>
      </c>
      <c r="V51" s="205">
        <f t="shared" si="5"/>
        <v>-665939.63769711484</v>
      </c>
      <c r="W51" s="205">
        <f t="shared" si="5"/>
        <v>-1665939.6376971148</v>
      </c>
    </row>
    <row r="52" spans="3:27" x14ac:dyDescent="0.25">
      <c r="C52" s="152" t="s">
        <v>105</v>
      </c>
      <c r="D52" s="198"/>
      <c r="E52" s="198">
        <f>-(E2-E3)*SUM(D14:D15)</f>
        <v>-1673999.9999999998</v>
      </c>
      <c r="F52" s="198"/>
      <c r="G52" s="198"/>
      <c r="H52" s="198"/>
      <c r="I52" s="198"/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</row>
    <row r="53" spans="3:27" x14ac:dyDescent="0.25">
      <c r="C53" s="152" t="s">
        <v>162</v>
      </c>
      <c r="D53" s="198"/>
      <c r="E53" s="198">
        <f>E2*D11</f>
        <v>400000</v>
      </c>
      <c r="F53" s="198"/>
      <c r="G53" s="198"/>
      <c r="H53" s="198"/>
      <c r="I53" s="198"/>
      <c r="J53" s="198"/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8"/>
    </row>
    <row r="54" spans="3:27" x14ac:dyDescent="0.25">
      <c r="C54" s="157" t="s">
        <v>87</v>
      </c>
      <c r="D54" s="207"/>
      <c r="E54" s="207">
        <f t="shared" ref="E54:W54" si="6">$G$48</f>
        <v>155208.17971397421</v>
      </c>
      <c r="F54" s="207">
        <f t="shared" si="6"/>
        <v>155208.17971397421</v>
      </c>
      <c r="G54" s="207">
        <f t="shared" si="6"/>
        <v>155208.17971397421</v>
      </c>
      <c r="H54" s="207">
        <f t="shared" si="6"/>
        <v>155208.17971397421</v>
      </c>
      <c r="I54" s="207">
        <f t="shared" si="6"/>
        <v>155208.17971397421</v>
      </c>
      <c r="J54" s="207">
        <f t="shared" si="6"/>
        <v>155208.17971397421</v>
      </c>
      <c r="K54" s="207">
        <f t="shared" si="6"/>
        <v>155208.17971397421</v>
      </c>
      <c r="L54" s="207">
        <f t="shared" si="6"/>
        <v>155208.17971397421</v>
      </c>
      <c r="M54" s="207">
        <f t="shared" si="6"/>
        <v>155208.17971397421</v>
      </c>
      <c r="N54" s="207">
        <f t="shared" si="6"/>
        <v>155208.17971397421</v>
      </c>
      <c r="O54" s="207">
        <f t="shared" si="6"/>
        <v>155208.17971397421</v>
      </c>
      <c r="P54" s="207">
        <f t="shared" si="6"/>
        <v>155208.17971397421</v>
      </c>
      <c r="Q54" s="207">
        <f t="shared" si="6"/>
        <v>155208.17971397421</v>
      </c>
      <c r="R54" s="207">
        <f t="shared" si="6"/>
        <v>155208.17971397421</v>
      </c>
      <c r="S54" s="207">
        <f t="shared" si="6"/>
        <v>155208.17971397421</v>
      </c>
      <c r="T54" s="207">
        <f t="shared" si="6"/>
        <v>155208.17971397421</v>
      </c>
      <c r="U54" s="207">
        <f t="shared" si="6"/>
        <v>155208.17971397421</v>
      </c>
      <c r="V54" s="207">
        <f t="shared" si="6"/>
        <v>155208.17971397421</v>
      </c>
      <c r="W54" s="207">
        <f t="shared" si="6"/>
        <v>155208.17971397421</v>
      </c>
    </row>
    <row r="55" spans="3:27" x14ac:dyDescent="0.25">
      <c r="C55" s="158" t="s">
        <v>88</v>
      </c>
      <c r="D55" s="209"/>
      <c r="E55" s="209">
        <f>SUM(E51:E54)</f>
        <v>6831208.1797139738</v>
      </c>
      <c r="F55" s="209">
        <f t="shared" ref="F55:T55" si="7">SUM(F51:F54)</f>
        <v>-510731.4579831406</v>
      </c>
      <c r="G55" s="209">
        <f t="shared" si="7"/>
        <v>-510731.4579831406</v>
      </c>
      <c r="H55" s="209">
        <f t="shared" si="7"/>
        <v>-510731.4579831406</v>
      </c>
      <c r="I55" s="209">
        <f t="shared" si="7"/>
        <v>-510731.4579831406</v>
      </c>
      <c r="J55" s="209">
        <f t="shared" si="7"/>
        <v>-510731.4579831406</v>
      </c>
      <c r="K55" s="209">
        <f t="shared" si="7"/>
        <v>-510731.4579831406</v>
      </c>
      <c r="L55" s="209">
        <f t="shared" si="7"/>
        <v>-510731.4579831406</v>
      </c>
      <c r="M55" s="209">
        <f t="shared" si="7"/>
        <v>-510731.4579831406</v>
      </c>
      <c r="N55" s="209">
        <f t="shared" si="7"/>
        <v>-510731.4579831406</v>
      </c>
      <c r="O55" s="209">
        <f t="shared" si="7"/>
        <v>-510731.4579831406</v>
      </c>
      <c r="P55" s="209">
        <f t="shared" si="7"/>
        <v>-510731.4579831406</v>
      </c>
      <c r="Q55" s="209">
        <f t="shared" si="7"/>
        <v>-510731.4579831406</v>
      </c>
      <c r="R55" s="209">
        <f t="shared" si="7"/>
        <v>-510731.4579831406</v>
      </c>
      <c r="S55" s="209">
        <f t="shared" si="7"/>
        <v>-510731.4579831406</v>
      </c>
      <c r="T55" s="209">
        <f t="shared" si="7"/>
        <v>-510731.4579831406</v>
      </c>
      <c r="U55" s="209">
        <f t="shared" ref="U55:W55" si="8">SUM(U51:U54)</f>
        <v>-510731.4579831406</v>
      </c>
      <c r="V55" s="209">
        <f t="shared" si="8"/>
        <v>-510731.4579831406</v>
      </c>
      <c r="W55" s="209">
        <f t="shared" si="8"/>
        <v>-1510731.4579831406</v>
      </c>
    </row>
    <row r="56" spans="3:27" x14ac:dyDescent="0.25">
      <c r="C56" s="158" t="s">
        <v>62</v>
      </c>
      <c r="D56" s="195"/>
      <c r="E56" s="243">
        <f>IRR(E55:W55)</f>
        <v>4.2122666458306979E-2</v>
      </c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95"/>
      <c r="R56" s="195"/>
      <c r="S56" s="195"/>
      <c r="T56" s="195"/>
      <c r="U56" s="195"/>
      <c r="V56" s="195"/>
      <c r="W56" s="195"/>
    </row>
    <row r="57" spans="3:27" x14ac:dyDescent="0.25">
      <c r="D57" s="195"/>
      <c r="E57" s="195"/>
      <c r="F57" s="195"/>
      <c r="G57" s="195"/>
      <c r="H57" s="195"/>
      <c r="I57" s="195"/>
      <c r="J57" s="195"/>
      <c r="K57" s="195"/>
      <c r="L57" s="195"/>
      <c r="M57" s="195"/>
      <c r="N57" s="195"/>
      <c r="O57" s="195"/>
      <c r="P57" s="195"/>
      <c r="Q57" s="195"/>
      <c r="R57" s="195"/>
      <c r="S57" s="195"/>
      <c r="T57" s="195"/>
      <c r="U57" s="195"/>
      <c r="V57" s="195"/>
      <c r="W57" s="195"/>
    </row>
    <row r="58" spans="3:27" ht="15.75" thickBot="1" x14ac:dyDescent="0.3">
      <c r="C58" s="151" t="s">
        <v>89</v>
      </c>
      <c r="D58" s="194"/>
      <c r="E58" s="168" t="s">
        <v>79</v>
      </c>
      <c r="F58" s="168" t="s">
        <v>80</v>
      </c>
      <c r="G58" s="195"/>
      <c r="H58" s="195"/>
      <c r="I58" s="195"/>
      <c r="J58" s="195"/>
      <c r="K58" s="195"/>
      <c r="L58" s="195"/>
      <c r="M58" s="195"/>
      <c r="N58" s="195"/>
      <c r="O58" s="195"/>
      <c r="P58" s="195"/>
      <c r="Q58" s="195"/>
      <c r="R58" s="195"/>
      <c r="S58" s="195"/>
      <c r="T58" s="195"/>
      <c r="U58" s="195"/>
      <c r="V58" s="195"/>
      <c r="W58" s="195"/>
    </row>
    <row r="59" spans="3:27" ht="15.75" thickTop="1" x14ac:dyDescent="0.25">
      <c r="C59" s="152" t="s">
        <v>90</v>
      </c>
      <c r="D59" s="195"/>
      <c r="E59" s="198">
        <f>E32+E26</f>
        <v>4600000</v>
      </c>
      <c r="F59" s="198"/>
      <c r="G59" s="198"/>
      <c r="H59" s="198"/>
      <c r="I59" s="198"/>
      <c r="J59" s="198"/>
      <c r="K59" s="198"/>
      <c r="L59" s="198"/>
      <c r="M59" s="198"/>
      <c r="N59" s="198"/>
      <c r="O59" s="198"/>
      <c r="P59" s="198"/>
      <c r="Q59" s="198"/>
      <c r="R59" s="198"/>
      <c r="S59" s="198"/>
      <c r="T59" s="198"/>
      <c r="U59" s="198"/>
      <c r="V59" s="198"/>
      <c r="W59" s="198"/>
    </row>
    <row r="60" spans="3:27" x14ac:dyDescent="0.25">
      <c r="C60" s="152" t="s">
        <v>128</v>
      </c>
      <c r="D60" s="195"/>
      <c r="E60" s="198">
        <f>E3-D47*(D6+1)</f>
        <v>1720000</v>
      </c>
      <c r="F60" s="198"/>
      <c r="G60" s="198"/>
      <c r="H60" s="198"/>
      <c r="I60" s="198"/>
      <c r="J60" s="198"/>
      <c r="K60" s="198"/>
      <c r="L60" s="198"/>
      <c r="M60" s="198"/>
      <c r="N60" s="198"/>
      <c r="O60" s="198"/>
      <c r="P60" s="198"/>
      <c r="Q60" s="198"/>
      <c r="R60" s="198"/>
      <c r="S60" s="198"/>
      <c r="T60" s="198"/>
      <c r="U60" s="198"/>
      <c r="V60" s="198"/>
      <c r="W60" s="198"/>
    </row>
    <row r="61" spans="3:27" x14ac:dyDescent="0.25">
      <c r="C61" s="157" t="s">
        <v>92</v>
      </c>
      <c r="D61" s="233"/>
      <c r="E61" s="207">
        <f>E60-E59</f>
        <v>-2880000</v>
      </c>
      <c r="F61" s="207"/>
      <c r="G61" s="198"/>
      <c r="H61" s="198"/>
      <c r="I61" s="198"/>
      <c r="J61" s="198"/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8"/>
      <c r="V61" s="198"/>
      <c r="W61" s="198"/>
    </row>
    <row r="62" spans="3:27" x14ac:dyDescent="0.25">
      <c r="C62" s="158" t="s">
        <v>93</v>
      </c>
      <c r="D62" s="195"/>
      <c r="E62" s="198"/>
      <c r="F62" s="209">
        <f>E61*(SUM(D14:D15))</f>
        <v>-803519.99999999988</v>
      </c>
      <c r="G62" s="198"/>
      <c r="H62" s="198"/>
      <c r="I62" s="198"/>
      <c r="J62" s="198"/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</row>
    <row r="63" spans="3:27" x14ac:dyDescent="0.25">
      <c r="D63" s="195"/>
      <c r="E63" s="198"/>
      <c r="F63" s="198"/>
      <c r="G63" s="198"/>
      <c r="H63" s="198"/>
      <c r="I63" s="198"/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198"/>
      <c r="W63" s="198"/>
    </row>
    <row r="64" spans="3:27" s="229" customFormat="1" x14ac:dyDescent="0.25">
      <c r="C64" s="158" t="s">
        <v>94</v>
      </c>
      <c r="D64" s="233"/>
      <c r="E64" s="170">
        <v>0</v>
      </c>
      <c r="F64" s="242">
        <f t="shared" ref="F64:W64" si="9">E64+1</f>
        <v>1</v>
      </c>
      <c r="G64" s="242">
        <f t="shared" si="9"/>
        <v>2</v>
      </c>
      <c r="H64" s="242">
        <f t="shared" si="9"/>
        <v>3</v>
      </c>
      <c r="I64" s="242">
        <f t="shared" si="9"/>
        <v>4</v>
      </c>
      <c r="J64" s="242">
        <f t="shared" si="9"/>
        <v>5</v>
      </c>
      <c r="K64" s="242">
        <f t="shared" si="9"/>
        <v>6</v>
      </c>
      <c r="L64" s="242">
        <f t="shared" si="9"/>
        <v>7</v>
      </c>
      <c r="M64" s="242">
        <f t="shared" si="9"/>
        <v>8</v>
      </c>
      <c r="N64" s="242">
        <f t="shared" si="9"/>
        <v>9</v>
      </c>
      <c r="O64" s="242">
        <f t="shared" si="9"/>
        <v>10</v>
      </c>
      <c r="P64" s="242">
        <f t="shared" si="9"/>
        <v>11</v>
      </c>
      <c r="Q64" s="242">
        <f t="shared" si="9"/>
        <v>12</v>
      </c>
      <c r="R64" s="242">
        <f t="shared" si="9"/>
        <v>13</v>
      </c>
      <c r="S64" s="242">
        <f t="shared" si="9"/>
        <v>14</v>
      </c>
      <c r="T64" s="242">
        <f t="shared" si="9"/>
        <v>15</v>
      </c>
      <c r="U64" s="242">
        <f t="shared" si="9"/>
        <v>16</v>
      </c>
      <c r="V64" s="242">
        <f t="shared" si="9"/>
        <v>17</v>
      </c>
      <c r="W64" s="242">
        <f t="shared" si="9"/>
        <v>18</v>
      </c>
      <c r="X64" s="232"/>
      <c r="Y64" s="232"/>
      <c r="Z64" s="232"/>
      <c r="AA64" s="232"/>
    </row>
    <row r="65" spans="3:23" x14ac:dyDescent="0.25">
      <c r="C65" s="203" t="str">
        <f>C55</f>
        <v>Flusso Leasing Fiscale</v>
      </c>
      <c r="D65" s="244"/>
      <c r="E65" s="205">
        <f t="shared" ref="E65:T65" si="10">E55</f>
        <v>6831208.1797139738</v>
      </c>
      <c r="F65" s="205">
        <f t="shared" si="10"/>
        <v>-510731.4579831406</v>
      </c>
      <c r="G65" s="205">
        <f t="shared" si="10"/>
        <v>-510731.4579831406</v>
      </c>
      <c r="H65" s="205">
        <f t="shared" si="10"/>
        <v>-510731.4579831406</v>
      </c>
      <c r="I65" s="205">
        <f t="shared" si="10"/>
        <v>-510731.4579831406</v>
      </c>
      <c r="J65" s="205">
        <f t="shared" si="10"/>
        <v>-510731.4579831406</v>
      </c>
      <c r="K65" s="205">
        <f t="shared" si="10"/>
        <v>-510731.4579831406</v>
      </c>
      <c r="L65" s="205">
        <f t="shared" si="10"/>
        <v>-510731.4579831406</v>
      </c>
      <c r="M65" s="205">
        <f t="shared" si="10"/>
        <v>-510731.4579831406</v>
      </c>
      <c r="N65" s="205">
        <f t="shared" si="10"/>
        <v>-510731.4579831406</v>
      </c>
      <c r="O65" s="205">
        <f t="shared" si="10"/>
        <v>-510731.4579831406</v>
      </c>
      <c r="P65" s="205">
        <f t="shared" si="10"/>
        <v>-510731.4579831406</v>
      </c>
      <c r="Q65" s="205">
        <f t="shared" si="10"/>
        <v>-510731.4579831406</v>
      </c>
      <c r="R65" s="205">
        <f t="shared" si="10"/>
        <v>-510731.4579831406</v>
      </c>
      <c r="S65" s="205">
        <f t="shared" si="10"/>
        <v>-510731.4579831406</v>
      </c>
      <c r="T65" s="205">
        <f t="shared" si="10"/>
        <v>-510731.4579831406</v>
      </c>
      <c r="U65" s="205">
        <f t="shared" ref="U65:W65" si="11">U55</f>
        <v>-510731.4579831406</v>
      </c>
      <c r="V65" s="205">
        <f t="shared" si="11"/>
        <v>-510731.4579831406</v>
      </c>
      <c r="W65" s="205">
        <f t="shared" si="11"/>
        <v>-1510731.4579831406</v>
      </c>
    </row>
    <row r="66" spans="3:23" x14ac:dyDescent="0.25">
      <c r="C66" s="157" t="s">
        <v>93</v>
      </c>
      <c r="D66" s="233"/>
      <c r="E66" s="207"/>
      <c r="F66" s="207"/>
      <c r="G66" s="207"/>
      <c r="H66" s="207"/>
      <c r="I66" s="207"/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>
        <f>-F62</f>
        <v>803519.99999999988</v>
      </c>
    </row>
    <row r="67" spans="3:23" x14ac:dyDescent="0.25">
      <c r="C67" s="158" t="s">
        <v>95</v>
      </c>
      <c r="D67" s="210"/>
      <c r="E67" s="209">
        <f t="shared" ref="E67:T67" si="12">SUM(E65:E66)</f>
        <v>6831208.1797139738</v>
      </c>
      <c r="F67" s="209">
        <f t="shared" si="12"/>
        <v>-510731.4579831406</v>
      </c>
      <c r="G67" s="209">
        <f t="shared" si="12"/>
        <v>-510731.4579831406</v>
      </c>
      <c r="H67" s="209">
        <f t="shared" si="12"/>
        <v>-510731.4579831406</v>
      </c>
      <c r="I67" s="209">
        <f t="shared" si="12"/>
        <v>-510731.4579831406</v>
      </c>
      <c r="J67" s="209">
        <f t="shared" si="12"/>
        <v>-510731.4579831406</v>
      </c>
      <c r="K67" s="209">
        <f t="shared" si="12"/>
        <v>-510731.4579831406</v>
      </c>
      <c r="L67" s="209">
        <f t="shared" si="12"/>
        <v>-510731.4579831406</v>
      </c>
      <c r="M67" s="209">
        <f t="shared" si="12"/>
        <v>-510731.4579831406</v>
      </c>
      <c r="N67" s="209">
        <f t="shared" si="12"/>
        <v>-510731.4579831406</v>
      </c>
      <c r="O67" s="209">
        <f t="shared" si="12"/>
        <v>-510731.4579831406</v>
      </c>
      <c r="P67" s="209">
        <f t="shared" si="12"/>
        <v>-510731.4579831406</v>
      </c>
      <c r="Q67" s="209">
        <f t="shared" si="12"/>
        <v>-510731.4579831406</v>
      </c>
      <c r="R67" s="209">
        <f t="shared" si="12"/>
        <v>-510731.4579831406</v>
      </c>
      <c r="S67" s="209">
        <f t="shared" si="12"/>
        <v>-510731.4579831406</v>
      </c>
      <c r="T67" s="209">
        <f t="shared" si="12"/>
        <v>-510731.4579831406</v>
      </c>
      <c r="U67" s="209">
        <f t="shared" ref="U67:W67" si="13">SUM(U65:U66)</f>
        <v>-510731.4579831406</v>
      </c>
      <c r="V67" s="209">
        <f t="shared" si="13"/>
        <v>-510731.4579831406</v>
      </c>
      <c r="W67" s="209">
        <f t="shared" si="13"/>
        <v>-707211.45798314072</v>
      </c>
    </row>
    <row r="68" spans="3:23" x14ac:dyDescent="0.25">
      <c r="C68" s="167" t="s">
        <v>66</v>
      </c>
      <c r="D68" s="235"/>
      <c r="E68" s="236">
        <f>IRR(E67:W67)</f>
        <v>3.5190132261041507E-2</v>
      </c>
      <c r="F68" s="195"/>
      <c r="G68" s="195"/>
      <c r="H68" s="195"/>
      <c r="I68" s="195"/>
      <c r="J68" s="195"/>
      <c r="K68" s="195"/>
      <c r="L68" s="195"/>
      <c r="M68" s="195"/>
      <c r="N68" s="195"/>
      <c r="O68" s="195"/>
      <c r="P68" s="195"/>
      <c r="Q68" s="195"/>
      <c r="R68" s="195"/>
      <c r="S68" s="195"/>
      <c r="T68" s="195"/>
      <c r="U68" s="195"/>
      <c r="V68" s="195"/>
      <c r="W68" s="195"/>
    </row>
  </sheetData>
  <pageMargins left="0.75" right="0.75" top="1" bottom="1" header="0.5" footer="0.5"/>
  <pageSetup paperSize="9" orientation="portrait" r:id="rId1"/>
  <headerFooter alignWithMargins="0"/>
  <ignoredErrors>
    <ignoredError sqref="F62 E52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Foglio35">
    <tabColor rgb="FF00B0F0"/>
  </sheetPr>
  <dimension ref="B2:AH37"/>
  <sheetViews>
    <sheetView showGridLines="0" workbookViewId="0"/>
  </sheetViews>
  <sheetFormatPr defaultColWidth="9.140625" defaultRowHeight="15.75" x14ac:dyDescent="0.25"/>
  <cols>
    <col min="1" max="1" width="9.140625" style="246"/>
    <col min="2" max="2" width="9.140625" style="246" customWidth="1"/>
    <col min="3" max="3" width="45.140625" style="149" bestFit="1" customWidth="1"/>
    <col min="4" max="4" width="12.28515625" style="146" bestFit="1" customWidth="1"/>
    <col min="5" max="5" width="15" style="146" bestFit="1" customWidth="1"/>
    <col min="6" max="6" width="12.28515625" style="146" bestFit="1" customWidth="1"/>
    <col min="7" max="7" width="15" style="146" bestFit="1" customWidth="1"/>
    <col min="8" max="8" width="5" style="245" customWidth="1"/>
    <col min="9" max="9" width="7.85546875" style="245" customWidth="1"/>
    <col min="10" max="13" width="13.5703125" style="245" customWidth="1"/>
    <col min="14" max="20" width="13.5703125" style="246" customWidth="1"/>
    <col min="21" max="21" width="13.5703125" style="246" bestFit="1" customWidth="1"/>
    <col min="22" max="22" width="14.7109375" style="246" bestFit="1" customWidth="1"/>
    <col min="23" max="16384" width="9.140625" style="246"/>
  </cols>
  <sheetData>
    <row r="2" spans="2:34" x14ac:dyDescent="0.25">
      <c r="B2" s="350" t="s">
        <v>163</v>
      </c>
      <c r="C2" s="172" t="s">
        <v>104</v>
      </c>
      <c r="D2" s="146">
        <f>'new slb1'!E2</f>
        <v>10000000</v>
      </c>
    </row>
    <row r="3" spans="2:34" x14ac:dyDescent="0.25">
      <c r="B3" s="350"/>
      <c r="C3" s="173" t="s">
        <v>109</v>
      </c>
      <c r="D3" s="146">
        <f>'new slb1'!E3</f>
        <v>7000000</v>
      </c>
    </row>
    <row r="4" spans="2:34" x14ac:dyDescent="0.25">
      <c r="B4" s="350"/>
      <c r="C4" s="174" t="s">
        <v>110</v>
      </c>
      <c r="D4" s="247">
        <f>'new slb2'!E3</f>
        <v>4000000</v>
      </c>
    </row>
    <row r="5" spans="2:34" x14ac:dyDescent="0.25">
      <c r="B5" s="350"/>
    </row>
    <row r="6" spans="2:34" x14ac:dyDescent="0.25">
      <c r="B6" s="350"/>
      <c r="C6" s="175" t="s">
        <v>111</v>
      </c>
      <c r="D6" s="279" t="s">
        <v>112</v>
      </c>
      <c r="E6" s="279" t="s">
        <v>113</v>
      </c>
    </row>
    <row r="7" spans="2:34" x14ac:dyDescent="0.25">
      <c r="B7" s="350"/>
      <c r="C7" s="176" t="s">
        <v>106</v>
      </c>
      <c r="D7" s="145">
        <f>D2-D3</f>
        <v>3000000</v>
      </c>
      <c r="E7" s="145">
        <f>D7*SUM('new slb1'!D14:D15)</f>
        <v>836999.99999999988</v>
      </c>
    </row>
    <row r="8" spans="2:34" x14ac:dyDescent="0.25">
      <c r="B8" s="350"/>
      <c r="C8" s="177" t="s">
        <v>107</v>
      </c>
      <c r="D8" s="146">
        <f>D2-D4</f>
        <v>6000000</v>
      </c>
      <c r="E8" s="146">
        <f>D8*SUM('new slb2'!D14:D15)</f>
        <v>1673999.9999999998</v>
      </c>
    </row>
    <row r="10" spans="2:34" s="250" customFormat="1" ht="15.75" customHeight="1" thickBot="1" x14ac:dyDescent="0.3">
      <c r="B10" s="350" t="s">
        <v>164</v>
      </c>
      <c r="C10" s="179" t="s">
        <v>75</v>
      </c>
      <c r="D10" s="178" t="s">
        <v>106</v>
      </c>
      <c r="E10" s="178" t="s">
        <v>107</v>
      </c>
      <c r="F10" s="146"/>
      <c r="G10" s="146"/>
      <c r="H10" s="245"/>
      <c r="I10" s="245"/>
      <c r="J10" s="245"/>
      <c r="K10" s="245"/>
      <c r="L10" s="245"/>
      <c r="M10" s="245"/>
      <c r="N10" s="246"/>
      <c r="O10" s="246"/>
      <c r="P10" s="246"/>
      <c r="Q10" s="246"/>
      <c r="R10" s="246"/>
      <c r="S10" s="246"/>
      <c r="T10" s="246"/>
      <c r="U10" s="246"/>
      <c r="V10" s="246"/>
      <c r="W10" s="246"/>
      <c r="X10" s="246"/>
      <c r="Y10" s="246"/>
      <c r="Z10" s="246"/>
      <c r="AA10" s="246"/>
      <c r="AB10" s="246"/>
      <c r="AC10" s="246"/>
      <c r="AD10" s="246"/>
      <c r="AE10" s="246"/>
      <c r="AF10" s="246"/>
      <c r="AG10" s="246"/>
      <c r="AH10" s="246"/>
    </row>
    <row r="11" spans="2:34" ht="16.5" thickTop="1" x14ac:dyDescent="0.25">
      <c r="B11" s="350"/>
      <c r="C11" s="175" t="s">
        <v>76</v>
      </c>
      <c r="D11" s="249">
        <f>'new slb1'!E40</f>
        <v>7950000</v>
      </c>
      <c r="E11" s="249">
        <f>'new slb2'!E40</f>
        <v>7950000</v>
      </c>
    </row>
    <row r="12" spans="2:34" x14ac:dyDescent="0.25">
      <c r="B12" s="350"/>
      <c r="C12" s="180" t="s">
        <v>61</v>
      </c>
      <c r="D12" s="148">
        <f>'new slb1'!E41</f>
        <v>5.3767404926594153E-2</v>
      </c>
      <c r="E12" s="148">
        <f>'new slb2'!E41</f>
        <v>5.3767404926594153E-2</v>
      </c>
    </row>
    <row r="13" spans="2:34" x14ac:dyDescent="0.25">
      <c r="B13" s="350"/>
      <c r="C13" s="176" t="s">
        <v>105</v>
      </c>
      <c r="D13" s="145">
        <f>'new slb1'!E52</f>
        <v>-836999.99999999988</v>
      </c>
      <c r="E13" s="145">
        <f>'new slb2'!E52</f>
        <v>-1673999.9999999998</v>
      </c>
      <c r="F13" s="249"/>
      <c r="G13" s="249"/>
    </row>
    <row r="14" spans="2:34" x14ac:dyDescent="0.25">
      <c r="B14" s="350"/>
      <c r="C14" s="172" t="s">
        <v>86</v>
      </c>
      <c r="D14" s="146">
        <f>'new slb1'!E53</f>
        <v>400000</v>
      </c>
      <c r="E14" s="146">
        <f>'new slb2'!E53</f>
        <v>400000</v>
      </c>
      <c r="F14" s="249"/>
      <c r="G14" s="249"/>
    </row>
    <row r="15" spans="2:34" x14ac:dyDescent="0.25">
      <c r="B15" s="350"/>
      <c r="C15" s="172" t="s">
        <v>87</v>
      </c>
      <c r="D15" s="146">
        <f>'new slb1'!E54</f>
        <v>135120.17971397421</v>
      </c>
      <c r="E15" s="146">
        <f>'new slb2'!E54</f>
        <v>155208.17971397421</v>
      </c>
      <c r="F15" s="249"/>
      <c r="G15" s="249"/>
    </row>
    <row r="16" spans="2:34" x14ac:dyDescent="0.25">
      <c r="B16" s="350"/>
      <c r="C16" s="181" t="s">
        <v>88</v>
      </c>
      <c r="D16" s="147">
        <f>'new slb1'!E55</f>
        <v>7648120.1797139738</v>
      </c>
      <c r="E16" s="147">
        <f>'new slb2'!E55</f>
        <v>6831208.1797139738</v>
      </c>
      <c r="F16" s="147">
        <f>D16-E16</f>
        <v>816912</v>
      </c>
      <c r="G16" s="249"/>
    </row>
    <row r="17" spans="2:7" x14ac:dyDescent="0.25">
      <c r="B17" s="350"/>
      <c r="C17" s="180" t="s">
        <v>62</v>
      </c>
      <c r="D17" s="148">
        <f>'new slb1'!E56</f>
        <v>3.3408170540267346E-2</v>
      </c>
      <c r="E17" s="148">
        <f>'new slb2'!E56</f>
        <v>4.2122666458306979E-2</v>
      </c>
      <c r="F17" s="148">
        <f>D17-E17</f>
        <v>-8.7144959180396331E-3</v>
      </c>
      <c r="G17" s="249"/>
    </row>
    <row r="18" spans="2:7" x14ac:dyDescent="0.25">
      <c r="C18" s="248"/>
      <c r="D18" s="249"/>
      <c r="E18" s="249"/>
    </row>
    <row r="19" spans="2:7" x14ac:dyDescent="0.25">
      <c r="B19" s="350" t="s">
        <v>165</v>
      </c>
      <c r="D19" s="351" t="s">
        <v>106</v>
      </c>
      <c r="E19" s="351"/>
      <c r="F19" s="352" t="s">
        <v>107</v>
      </c>
      <c r="G19" s="351"/>
    </row>
    <row r="20" spans="2:7" ht="16.5" thickBot="1" x14ac:dyDescent="0.3">
      <c r="B20" s="350"/>
      <c r="C20" s="184" t="s">
        <v>77</v>
      </c>
      <c r="D20" s="182" t="s">
        <v>79</v>
      </c>
      <c r="E20" s="182" t="s">
        <v>80</v>
      </c>
      <c r="F20" s="183" t="s">
        <v>79</v>
      </c>
      <c r="G20" s="182" t="s">
        <v>80</v>
      </c>
    </row>
    <row r="21" spans="2:7" ht="16.5" thickTop="1" x14ac:dyDescent="0.25">
      <c r="B21" s="350"/>
      <c r="C21" s="172" t="s">
        <v>81</v>
      </c>
      <c r="D21" s="146">
        <f>'new slb1'!F44</f>
        <v>677050.74880822597</v>
      </c>
      <c r="E21" s="146">
        <f>'new slb1'!G44</f>
        <v>162492.17971397421</v>
      </c>
      <c r="F21" s="251">
        <f>'new slb2'!F44</f>
        <v>677050.74880822597</v>
      </c>
      <c r="G21" s="146">
        <f>'new slb2'!G44</f>
        <v>162492.17971397421</v>
      </c>
    </row>
    <row r="22" spans="2:7" x14ac:dyDescent="0.25">
      <c r="B22" s="350"/>
      <c r="C22" s="185" t="s">
        <v>82</v>
      </c>
      <c r="D22" s="252">
        <f>'new slb1'!F45</f>
        <v>500000</v>
      </c>
      <c r="E22" s="252">
        <f>'new slb1'!G45</f>
        <v>19500</v>
      </c>
      <c r="F22" s="253">
        <f>'new slb2'!F45</f>
        <v>500000</v>
      </c>
      <c r="G22" s="252">
        <f>'new slb2'!G45</f>
        <v>19500</v>
      </c>
    </row>
    <row r="23" spans="2:7" x14ac:dyDescent="0.25">
      <c r="B23" s="350"/>
      <c r="C23" s="186" t="s">
        <v>83</v>
      </c>
      <c r="D23" s="254"/>
      <c r="E23" s="254"/>
      <c r="F23" s="255"/>
      <c r="G23" s="256"/>
    </row>
    <row r="24" spans="2:7" x14ac:dyDescent="0.25">
      <c r="B24" s="350"/>
      <c r="C24" s="185" t="s">
        <v>103</v>
      </c>
      <c r="D24" s="252">
        <f>'new slb1'!F47</f>
        <v>168000</v>
      </c>
      <c r="E24" s="252">
        <f>'new slb1'!G47</f>
        <v>-46871.999999999993</v>
      </c>
      <c r="F24" s="253">
        <f>'new slb2'!F47</f>
        <v>96000</v>
      </c>
      <c r="G24" s="252">
        <f>'new slb2'!G47</f>
        <v>-26783.999999999996</v>
      </c>
    </row>
    <row r="25" spans="2:7" x14ac:dyDescent="0.25">
      <c r="B25" s="350"/>
      <c r="C25" s="175" t="s">
        <v>84</v>
      </c>
      <c r="D25" s="249"/>
      <c r="E25" s="249">
        <f>SUM(E21:E24)</f>
        <v>135120.17971397421</v>
      </c>
      <c r="F25" s="257"/>
      <c r="G25" s="249">
        <f>SUM(G21:G24)</f>
        <v>155208.17971397421</v>
      </c>
    </row>
    <row r="27" spans="2:7" ht="15.75" customHeight="1" x14ac:dyDescent="0.25">
      <c r="B27" s="350" t="s">
        <v>167</v>
      </c>
      <c r="D27" s="351" t="s">
        <v>106</v>
      </c>
      <c r="E27" s="351"/>
      <c r="F27" s="352" t="s">
        <v>107</v>
      </c>
      <c r="G27" s="351"/>
    </row>
    <row r="28" spans="2:7" ht="16.5" thickBot="1" x14ac:dyDescent="0.3">
      <c r="B28" s="350"/>
      <c r="C28" s="184" t="s">
        <v>89</v>
      </c>
      <c r="D28" s="182" t="s">
        <v>79</v>
      </c>
      <c r="E28" s="182" t="s">
        <v>80</v>
      </c>
      <c r="F28" s="183" t="s">
        <v>79</v>
      </c>
      <c r="G28" s="182" t="s">
        <v>80</v>
      </c>
    </row>
    <row r="29" spans="2:7" ht="16.5" thickTop="1" x14ac:dyDescent="0.25">
      <c r="B29" s="350"/>
      <c r="C29" s="172" t="s">
        <v>127</v>
      </c>
      <c r="D29" s="146">
        <f>'new slb1'!E59</f>
        <v>4600000</v>
      </c>
      <c r="F29" s="251">
        <f>'new slb2'!E59</f>
        <v>4600000</v>
      </c>
    </row>
    <row r="30" spans="2:7" x14ac:dyDescent="0.25">
      <c r="B30" s="350"/>
      <c r="C30" s="185" t="s">
        <v>128</v>
      </c>
      <c r="D30" s="252">
        <f>'new slb1'!E60</f>
        <v>3010000</v>
      </c>
      <c r="E30" s="252"/>
      <c r="F30" s="253">
        <f>'new slb2'!E60</f>
        <v>1720000</v>
      </c>
      <c r="G30" s="252"/>
    </row>
    <row r="31" spans="2:7" x14ac:dyDescent="0.25">
      <c r="B31" s="350"/>
      <c r="C31" s="187" t="s">
        <v>92</v>
      </c>
      <c r="D31" s="258">
        <f>D30-D29</f>
        <v>-1590000</v>
      </c>
      <c r="E31" s="258"/>
      <c r="F31" s="259">
        <f>F30-F29</f>
        <v>-2880000</v>
      </c>
      <c r="G31" s="260"/>
    </row>
    <row r="32" spans="2:7" x14ac:dyDescent="0.25">
      <c r="B32" s="350"/>
      <c r="C32" s="175" t="s">
        <v>93</v>
      </c>
      <c r="D32" s="249"/>
      <c r="E32" s="249">
        <f>'new slb1'!F62</f>
        <v>-443609.99999999994</v>
      </c>
      <c r="F32" s="257"/>
      <c r="G32" s="249">
        <f>'new slb2'!F62</f>
        <v>-803519.99999999988</v>
      </c>
    </row>
    <row r="33" spans="2:6" x14ac:dyDescent="0.25">
      <c r="B33" s="261"/>
    </row>
    <row r="34" spans="2:6" ht="16.5" thickBot="1" x14ac:dyDescent="0.3">
      <c r="B34" s="350" t="s">
        <v>166</v>
      </c>
      <c r="C34" s="262"/>
      <c r="D34" s="182" t="s">
        <v>106</v>
      </c>
      <c r="E34" s="182" t="s">
        <v>107</v>
      </c>
      <c r="F34" s="182" t="s">
        <v>92</v>
      </c>
    </row>
    <row r="35" spans="2:6" ht="16.5" thickTop="1" x14ac:dyDescent="0.25">
      <c r="B35" s="350"/>
      <c r="C35" s="172" t="s">
        <v>108</v>
      </c>
      <c r="D35" s="263">
        <f>D12</f>
        <v>5.3767404926594153E-2</v>
      </c>
      <c r="E35" s="263">
        <f>E12</f>
        <v>5.3767404926594153E-2</v>
      </c>
      <c r="F35" s="263">
        <f>E35-D35</f>
        <v>0</v>
      </c>
    </row>
    <row r="36" spans="2:6" x14ac:dyDescent="0.25">
      <c r="B36" s="350"/>
      <c r="C36" s="172" t="s">
        <v>62</v>
      </c>
      <c r="D36" s="263">
        <f>D17</f>
        <v>3.3408170540267346E-2</v>
      </c>
      <c r="E36" s="263">
        <f>E17</f>
        <v>4.2122666458306979E-2</v>
      </c>
      <c r="F36" s="263">
        <f>E36-D36</f>
        <v>8.7144959180396331E-3</v>
      </c>
    </row>
    <row r="37" spans="2:6" x14ac:dyDescent="0.25">
      <c r="B37" s="350"/>
      <c r="C37" s="180" t="s">
        <v>66</v>
      </c>
      <c r="D37" s="148">
        <f>'new slb1'!E68</f>
        <v>2.9694124088412543E-2</v>
      </c>
      <c r="E37" s="148">
        <f>'new slb2'!E68</f>
        <v>3.5190132261041507E-2</v>
      </c>
      <c r="F37" s="148">
        <f>E37-D37</f>
        <v>5.4960081726289634E-3</v>
      </c>
    </row>
  </sheetData>
  <mergeCells count="9">
    <mergeCell ref="D19:E19"/>
    <mergeCell ref="F19:G19"/>
    <mergeCell ref="D27:E27"/>
    <mergeCell ref="F27:G27"/>
    <mergeCell ref="B2:B8"/>
    <mergeCell ref="B10:B17"/>
    <mergeCell ref="B19:B25"/>
    <mergeCell ref="B27:B32"/>
    <mergeCell ref="B34:B3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FF0000"/>
  </sheetPr>
  <dimension ref="A1"/>
  <sheetViews>
    <sheetView showGridLines="0"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184A8-BB3B-4913-B59F-C575CE936E6D}">
  <sheetPr>
    <tabColor rgb="FF92D050"/>
  </sheetPr>
  <dimension ref="B1:H21"/>
  <sheetViews>
    <sheetView showGridLines="0" zoomScale="130" zoomScaleNormal="130" workbookViewId="0">
      <selection activeCell="H12" sqref="E3:H12"/>
    </sheetView>
  </sheetViews>
  <sheetFormatPr defaultRowHeight="15.75" x14ac:dyDescent="0.25"/>
  <cols>
    <col min="1" max="1" width="9.140625" style="287"/>
    <col min="2" max="2" width="22.28515625" style="287" bestFit="1" customWidth="1"/>
    <col min="3" max="3" width="15.42578125" style="287" customWidth="1"/>
    <col min="4" max="4" width="15.140625" style="287" customWidth="1"/>
    <col min="5" max="5" width="13.42578125" style="287" bestFit="1" customWidth="1"/>
    <col min="6" max="6" width="12.28515625" style="287" bestFit="1" customWidth="1"/>
    <col min="7" max="7" width="9.140625" style="287"/>
    <col min="8" max="8" width="10.140625" style="287" bestFit="1" customWidth="1"/>
    <col min="9" max="16384" width="9.140625" style="287"/>
  </cols>
  <sheetData>
    <row r="1" spans="2:6" x14ac:dyDescent="0.25">
      <c r="B1" s="288" t="s">
        <v>171</v>
      </c>
    </row>
    <row r="3" spans="2:6" x14ac:dyDescent="0.25">
      <c r="B3" s="288" t="s">
        <v>172</v>
      </c>
    </row>
    <row r="5" spans="2:6" x14ac:dyDescent="0.25">
      <c r="B5" s="303" t="s">
        <v>181</v>
      </c>
      <c r="C5" s="304">
        <v>8</v>
      </c>
      <c r="D5" s="291"/>
      <c r="E5" s="291"/>
      <c r="F5" s="292"/>
    </row>
    <row r="6" spans="2:6" x14ac:dyDescent="0.25">
      <c r="B6" s="305" t="s">
        <v>182</v>
      </c>
      <c r="C6" s="306">
        <v>3500000</v>
      </c>
      <c r="D6" s="307" t="s">
        <v>173</v>
      </c>
      <c r="F6" s="308"/>
    </row>
    <row r="7" spans="2:6" x14ac:dyDescent="0.25">
      <c r="B7" s="305" t="s">
        <v>183</v>
      </c>
      <c r="C7" s="306">
        <v>2000000</v>
      </c>
      <c r="F7" s="308"/>
    </row>
    <row r="8" spans="2:6" x14ac:dyDescent="0.25">
      <c r="B8" s="300" t="s">
        <v>184</v>
      </c>
      <c r="C8" s="309">
        <v>0.04</v>
      </c>
      <c r="D8" s="310"/>
      <c r="E8" s="310"/>
      <c r="F8" s="311"/>
    </row>
    <row r="9" spans="2:6" x14ac:dyDescent="0.25">
      <c r="B9" s="288"/>
    </row>
    <row r="10" spans="2:6" x14ac:dyDescent="0.25">
      <c r="B10" s="303" t="s">
        <v>185</v>
      </c>
      <c r="C10" s="291"/>
      <c r="D10" s="292"/>
    </row>
    <row r="11" spans="2:6" x14ac:dyDescent="0.25">
      <c r="B11" s="293" t="s">
        <v>174</v>
      </c>
      <c r="C11" s="294" t="s">
        <v>175</v>
      </c>
      <c r="D11" s="295" t="s">
        <v>176</v>
      </c>
    </row>
    <row r="12" spans="2:6" x14ac:dyDescent="0.25">
      <c r="B12" s="296">
        <v>0</v>
      </c>
      <c r="C12" s="297">
        <f>+$C$6</f>
        <v>3500000</v>
      </c>
      <c r="D12" s="298">
        <f t="shared" ref="D12:D20" si="0">C12/(1+$C$8)^B12</f>
        <v>3500000</v>
      </c>
    </row>
    <row r="13" spans="2:6" x14ac:dyDescent="0.25">
      <c r="B13" s="296">
        <v>1</v>
      </c>
      <c r="C13" s="297">
        <f>+$C$7</f>
        <v>2000000</v>
      </c>
      <c r="D13" s="298">
        <f t="shared" si="0"/>
        <v>1923076.923076923</v>
      </c>
      <c r="F13" s="289"/>
    </row>
    <row r="14" spans="2:6" x14ac:dyDescent="0.25">
      <c r="B14" s="299">
        <f>B13+1</f>
        <v>2</v>
      </c>
      <c r="C14" s="297">
        <f t="shared" ref="C14:C20" si="1">$C$7</f>
        <v>2000000</v>
      </c>
      <c r="D14" s="298">
        <f t="shared" si="0"/>
        <v>1849112.4260355027</v>
      </c>
      <c r="F14" s="289"/>
    </row>
    <row r="15" spans="2:6" x14ac:dyDescent="0.25">
      <c r="B15" s="299">
        <f t="shared" ref="B15:B20" si="2">B14+1</f>
        <v>3</v>
      </c>
      <c r="C15" s="297">
        <f t="shared" si="1"/>
        <v>2000000</v>
      </c>
      <c r="D15" s="298">
        <f t="shared" si="0"/>
        <v>1777992.7173418296</v>
      </c>
      <c r="F15" s="289"/>
    </row>
    <row r="16" spans="2:6" x14ac:dyDescent="0.25">
      <c r="B16" s="299">
        <f t="shared" si="2"/>
        <v>4</v>
      </c>
      <c r="C16" s="297">
        <f t="shared" si="1"/>
        <v>2000000</v>
      </c>
      <c r="D16" s="298">
        <f t="shared" si="0"/>
        <v>1709608.3820594514</v>
      </c>
      <c r="F16" s="289"/>
    </row>
    <row r="17" spans="2:8" x14ac:dyDescent="0.25">
      <c r="B17" s="299">
        <f t="shared" si="2"/>
        <v>5</v>
      </c>
      <c r="C17" s="297">
        <f t="shared" si="1"/>
        <v>2000000</v>
      </c>
      <c r="D17" s="298">
        <f t="shared" si="0"/>
        <v>1643854.2135187031</v>
      </c>
      <c r="F17" s="289"/>
    </row>
    <row r="18" spans="2:8" x14ac:dyDescent="0.25">
      <c r="B18" s="299">
        <f t="shared" si="2"/>
        <v>6</v>
      </c>
      <c r="C18" s="297">
        <f t="shared" si="1"/>
        <v>2000000</v>
      </c>
      <c r="D18" s="298">
        <f t="shared" si="0"/>
        <v>1580629.0514602915</v>
      </c>
      <c r="F18" s="289"/>
    </row>
    <row r="19" spans="2:8" x14ac:dyDescent="0.25">
      <c r="B19" s="299">
        <f t="shared" si="2"/>
        <v>7</v>
      </c>
      <c r="C19" s="297">
        <f t="shared" si="1"/>
        <v>2000000</v>
      </c>
      <c r="D19" s="298">
        <f t="shared" si="0"/>
        <v>1519835.6264041264</v>
      </c>
      <c r="F19" s="289"/>
    </row>
    <row r="20" spans="2:8" x14ac:dyDescent="0.25">
      <c r="B20" s="299">
        <f t="shared" si="2"/>
        <v>8</v>
      </c>
      <c r="C20" s="297">
        <f t="shared" si="1"/>
        <v>2000000</v>
      </c>
      <c r="D20" s="298">
        <f t="shared" si="0"/>
        <v>1461380.4100039676</v>
      </c>
      <c r="F20" s="289"/>
    </row>
    <row r="21" spans="2:8" x14ac:dyDescent="0.25">
      <c r="B21" s="300" t="s">
        <v>6</v>
      </c>
      <c r="C21" s="301">
        <f>SUM(C12:C20)</f>
        <v>19500000</v>
      </c>
      <c r="D21" s="302">
        <f>SUM(D12:D20)</f>
        <v>16965489.749900796</v>
      </c>
      <c r="H21" s="289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6629D-FF64-4709-A7EE-9D48435B9B04}">
  <sheetPr>
    <tabColor rgb="FF92D050"/>
  </sheetPr>
  <dimension ref="A1:L13"/>
  <sheetViews>
    <sheetView showGridLines="0" zoomScaleNormal="100" workbookViewId="0">
      <selection activeCell="H12" sqref="E3:H12"/>
    </sheetView>
  </sheetViews>
  <sheetFormatPr defaultRowHeight="15.75" x14ac:dyDescent="0.25"/>
  <cols>
    <col min="1" max="1" width="33.28515625" style="287" bestFit="1" customWidth="1"/>
    <col min="2" max="2" width="7.140625" style="287" bestFit="1" customWidth="1"/>
    <col min="3" max="3" width="13.140625" style="287" bestFit="1" customWidth="1"/>
    <col min="4" max="4" width="6.140625" style="287" bestFit="1" customWidth="1"/>
    <col min="5" max="5" width="10.140625" style="287" bestFit="1" customWidth="1"/>
    <col min="6" max="7" width="11.85546875" style="287" bestFit="1" customWidth="1"/>
    <col min="8" max="8" width="13.140625" style="287" bestFit="1" customWidth="1"/>
    <col min="9" max="9" width="10.140625" style="287" bestFit="1" customWidth="1"/>
    <col min="10" max="11" width="9.140625" style="287"/>
    <col min="12" max="12" width="21" style="287" bestFit="1" customWidth="1"/>
    <col min="13" max="13" width="7.28515625" style="287" customWidth="1"/>
    <col min="14" max="17" width="14.42578125" style="287" customWidth="1"/>
    <col min="18" max="16384" width="9.140625" style="287"/>
  </cols>
  <sheetData>
    <row r="1" spans="1:12" x14ac:dyDescent="0.25">
      <c r="A1" s="288" t="s">
        <v>177</v>
      </c>
    </row>
    <row r="2" spans="1:12" x14ac:dyDescent="0.25">
      <c r="A2" s="353"/>
      <c r="B2" s="353"/>
      <c r="C2" s="353"/>
      <c r="D2" s="353"/>
      <c r="E2" s="353"/>
      <c r="F2" s="353"/>
      <c r="G2" s="353"/>
    </row>
    <row r="3" spans="1:12" x14ac:dyDescent="0.25">
      <c r="B3" s="331" t="s">
        <v>186</v>
      </c>
      <c r="C3" s="312"/>
      <c r="D3" s="312"/>
      <c r="E3" s="312"/>
      <c r="F3" s="312"/>
      <c r="G3" s="312"/>
      <c r="H3" s="313"/>
    </row>
    <row r="4" spans="1:12" x14ac:dyDescent="0.25">
      <c r="B4" s="328" t="s">
        <v>174</v>
      </c>
      <c r="C4" s="329" t="s">
        <v>188</v>
      </c>
      <c r="D4" s="329" t="s">
        <v>189</v>
      </c>
      <c r="E4" s="329" t="s">
        <v>0</v>
      </c>
      <c r="F4" s="329" t="s">
        <v>190</v>
      </c>
      <c r="G4" s="329" t="s">
        <v>191</v>
      </c>
      <c r="H4" s="330" t="s">
        <v>192</v>
      </c>
    </row>
    <row r="5" spans="1:12" x14ac:dyDescent="0.25">
      <c r="B5" s="305">
        <v>0</v>
      </c>
      <c r="C5" s="325">
        <f>+RightOfUse!D21</f>
        <v>16965489.749900796</v>
      </c>
      <c r="D5" s="315"/>
      <c r="E5" s="289"/>
      <c r="F5" s="289">
        <f t="shared" ref="F5:F13" si="0">G5-E5</f>
        <v>3500000</v>
      </c>
      <c r="G5" s="314">
        <f>+RightOfUse!C12</f>
        <v>3500000</v>
      </c>
      <c r="H5" s="316">
        <f t="shared" ref="H5:H13" si="1">C5-F5</f>
        <v>13465489.749900796</v>
      </c>
    </row>
    <row r="6" spans="1:12" x14ac:dyDescent="0.25">
      <c r="B6" s="305">
        <v>1</v>
      </c>
      <c r="C6" s="325">
        <f>+H5</f>
        <v>13465489.749900796</v>
      </c>
      <c r="D6" s="317">
        <f>RightOfUse!$C$8</f>
        <v>0.04</v>
      </c>
      <c r="E6" s="289">
        <f>C6*D6</f>
        <v>538619.58999603183</v>
      </c>
      <c r="F6" s="289">
        <f t="shared" si="0"/>
        <v>1461380.410003968</v>
      </c>
      <c r="G6" s="314">
        <f>+RightOfUse!C13</f>
        <v>2000000</v>
      </c>
      <c r="H6" s="316">
        <f t="shared" si="1"/>
        <v>12004109.339896828</v>
      </c>
      <c r="I6" s="289"/>
      <c r="J6" s="289"/>
      <c r="L6" s="290"/>
    </row>
    <row r="7" spans="1:12" x14ac:dyDescent="0.25">
      <c r="B7" s="318">
        <f>B6+1</f>
        <v>2</v>
      </c>
      <c r="C7" s="326">
        <f t="shared" ref="C7:C13" si="2">H6</f>
        <v>12004109.339896828</v>
      </c>
      <c r="D7" s="317">
        <f>RightOfUse!$C$8</f>
        <v>0.04</v>
      </c>
      <c r="E7" s="289">
        <f t="shared" ref="E7:E13" si="3">C7*D7</f>
        <v>480164.37359587313</v>
      </c>
      <c r="F7" s="289">
        <f t="shared" si="0"/>
        <v>1519835.6264041269</v>
      </c>
      <c r="G7" s="314">
        <f>RightOfUse!$C$7</f>
        <v>2000000</v>
      </c>
      <c r="H7" s="316">
        <f t="shared" si="1"/>
        <v>10484273.713492701</v>
      </c>
      <c r="I7" s="289"/>
      <c r="J7" s="289"/>
    </row>
    <row r="8" spans="1:12" x14ac:dyDescent="0.25">
      <c r="B8" s="318">
        <f t="shared" ref="B8:B13" si="4">B7+1</f>
        <v>3</v>
      </c>
      <c r="C8" s="326">
        <f t="shared" si="2"/>
        <v>10484273.713492701</v>
      </c>
      <c r="D8" s="317">
        <f>RightOfUse!$C$8</f>
        <v>0.04</v>
      </c>
      <c r="E8" s="289">
        <f t="shared" si="3"/>
        <v>419370.94853970804</v>
      </c>
      <c r="F8" s="289">
        <f t="shared" si="0"/>
        <v>1580629.051460292</v>
      </c>
      <c r="G8" s="314">
        <f>RightOfUse!$C$7</f>
        <v>2000000</v>
      </c>
      <c r="H8" s="316">
        <f t="shared" si="1"/>
        <v>8903644.6620324086</v>
      </c>
      <c r="I8" s="289"/>
      <c r="J8" s="289"/>
    </row>
    <row r="9" spans="1:12" x14ac:dyDescent="0.25">
      <c r="B9" s="318">
        <f t="shared" si="4"/>
        <v>4</v>
      </c>
      <c r="C9" s="326">
        <f t="shared" si="2"/>
        <v>8903644.6620324086</v>
      </c>
      <c r="D9" s="317">
        <f>RightOfUse!$C$8</f>
        <v>0.04</v>
      </c>
      <c r="E9" s="289">
        <f t="shared" si="3"/>
        <v>356145.78648129635</v>
      </c>
      <c r="F9" s="289">
        <f t="shared" si="0"/>
        <v>1643854.2135187036</v>
      </c>
      <c r="G9" s="314">
        <f>RightOfUse!$C$7</f>
        <v>2000000</v>
      </c>
      <c r="H9" s="316">
        <f t="shared" si="1"/>
        <v>7259790.4485137053</v>
      </c>
      <c r="I9" s="289"/>
      <c r="J9" s="289"/>
    </row>
    <row r="10" spans="1:12" x14ac:dyDescent="0.25">
      <c r="B10" s="318">
        <f t="shared" si="4"/>
        <v>5</v>
      </c>
      <c r="C10" s="326">
        <f t="shared" si="2"/>
        <v>7259790.4485137053</v>
      </c>
      <c r="D10" s="317">
        <f>RightOfUse!$C$8</f>
        <v>0.04</v>
      </c>
      <c r="E10" s="289">
        <f t="shared" si="3"/>
        <v>290391.61794054823</v>
      </c>
      <c r="F10" s="289">
        <f t="shared" si="0"/>
        <v>1709608.3820594517</v>
      </c>
      <c r="G10" s="314">
        <f>RightOfUse!$C$7</f>
        <v>2000000</v>
      </c>
      <c r="H10" s="316">
        <f t="shared" si="1"/>
        <v>5550182.0664542541</v>
      </c>
      <c r="I10" s="289"/>
      <c r="J10" s="289"/>
    </row>
    <row r="11" spans="1:12" x14ac:dyDescent="0.25">
      <c r="B11" s="318">
        <f t="shared" si="4"/>
        <v>6</v>
      </c>
      <c r="C11" s="326">
        <f t="shared" si="2"/>
        <v>5550182.0664542541</v>
      </c>
      <c r="D11" s="317">
        <f>RightOfUse!$C$8</f>
        <v>0.04</v>
      </c>
      <c r="E11" s="289">
        <f t="shared" si="3"/>
        <v>222007.28265817018</v>
      </c>
      <c r="F11" s="289">
        <f t="shared" si="0"/>
        <v>1777992.7173418298</v>
      </c>
      <c r="G11" s="314">
        <f>RightOfUse!$C$7</f>
        <v>2000000</v>
      </c>
      <c r="H11" s="316">
        <f t="shared" si="1"/>
        <v>3772189.3491124241</v>
      </c>
      <c r="I11" s="289"/>
      <c r="J11" s="289"/>
    </row>
    <row r="12" spans="1:12" x14ac:dyDescent="0.25">
      <c r="B12" s="318">
        <f t="shared" si="4"/>
        <v>7</v>
      </c>
      <c r="C12" s="326">
        <f t="shared" si="2"/>
        <v>3772189.3491124241</v>
      </c>
      <c r="D12" s="317">
        <f>RightOfUse!$C$8</f>
        <v>0.04</v>
      </c>
      <c r="E12" s="289">
        <f t="shared" si="3"/>
        <v>150887.57396449696</v>
      </c>
      <c r="F12" s="289">
        <f t="shared" si="0"/>
        <v>1849112.4260355029</v>
      </c>
      <c r="G12" s="314">
        <f>RightOfUse!$C$7</f>
        <v>2000000</v>
      </c>
      <c r="H12" s="316">
        <f t="shared" si="1"/>
        <v>1923076.9230769211</v>
      </c>
      <c r="I12" s="289"/>
      <c r="J12" s="289"/>
    </row>
    <row r="13" spans="1:12" x14ac:dyDescent="0.25">
      <c r="B13" s="319">
        <f t="shared" si="4"/>
        <v>8</v>
      </c>
      <c r="C13" s="327">
        <f t="shared" si="2"/>
        <v>1923076.9230769211</v>
      </c>
      <c r="D13" s="321">
        <f>RightOfUse!$C$8</f>
        <v>0.04</v>
      </c>
      <c r="E13" s="320">
        <f t="shared" si="3"/>
        <v>76923.076923076849</v>
      </c>
      <c r="F13" s="320">
        <f t="shared" si="0"/>
        <v>1923076.9230769232</v>
      </c>
      <c r="G13" s="322">
        <f>RightOfUse!$C$7</f>
        <v>2000000</v>
      </c>
      <c r="H13" s="323">
        <f t="shared" si="1"/>
        <v>-2.0954757928848267E-9</v>
      </c>
      <c r="I13" s="289"/>
      <c r="J13" s="289"/>
    </row>
  </sheetData>
  <mergeCells count="1"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30</vt:i4>
      </vt:variant>
      <vt:variant>
        <vt:lpstr>Intervalli denominati</vt:lpstr>
      </vt:variant>
      <vt:variant>
        <vt:i4>1</vt:i4>
      </vt:variant>
    </vt:vector>
  </HeadingPairs>
  <TitlesOfParts>
    <vt:vector size="31" baseType="lpstr">
      <vt:lpstr>leggimi</vt:lpstr>
      <vt:lpstr>CALCOLI--&gt;</vt:lpstr>
      <vt:lpstr>Leasing</vt:lpstr>
      <vt:lpstr>new slb1</vt:lpstr>
      <vt:lpstr>new slb2</vt:lpstr>
      <vt:lpstr>newslbcalc</vt:lpstr>
      <vt:lpstr>TABELLE--&gt;</vt:lpstr>
      <vt:lpstr>RightOfUse</vt:lpstr>
      <vt:lpstr>SP</vt:lpstr>
      <vt:lpstr>Amm</vt:lpstr>
      <vt:lpstr>Int</vt:lpstr>
      <vt:lpstr>Riscatto</vt:lpstr>
      <vt:lpstr>Cessione</vt:lpstr>
      <vt:lpstr>Profilo</vt:lpstr>
      <vt:lpstr>Contratto</vt:lpstr>
      <vt:lpstr>Canone</vt:lpstr>
      <vt:lpstr>Fiscale</vt:lpstr>
      <vt:lpstr>Costo</vt:lpstr>
      <vt:lpstr>RispFiscale</vt:lpstr>
      <vt:lpstr>Flusso</vt:lpstr>
      <vt:lpstr>CGTL</vt:lpstr>
      <vt:lpstr>FlussoNetto</vt:lpstr>
      <vt:lpstr>Banca</vt:lpstr>
      <vt:lpstr>Ammortamento</vt:lpstr>
      <vt:lpstr>CostoBanca</vt:lpstr>
      <vt:lpstr>VC</vt:lpstr>
      <vt:lpstr>FinCosto</vt:lpstr>
      <vt:lpstr>Diff</vt:lpstr>
      <vt:lpstr>DiffCGTL</vt:lpstr>
      <vt:lpstr>CostoSL</vt:lpstr>
      <vt:lpstr>Profilo!Area_stampa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Giacomo</dc:creator>
  <cp:lastModifiedBy>Giacomo Morri</cp:lastModifiedBy>
  <dcterms:created xsi:type="dcterms:W3CDTF">1996-10-14T23:33:28Z</dcterms:created>
  <dcterms:modified xsi:type="dcterms:W3CDTF">2024-10-08T12:50:06Z</dcterms:modified>
</cp:coreProperties>
</file>