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ThisWorkbook" defaultThemeVersion="124226"/>
  <xr:revisionPtr revIDLastSave="90" documentId="8_{CD970064-34FC-43D3-A997-82C8074EB984}" xr6:coauthVersionLast="47" xr6:coauthVersionMax="47" xr10:uidLastSave="{992CBAD0-E11C-449B-9DEA-230ABDAC76F8}"/>
  <bookViews>
    <workbookView xWindow="-120" yWindow="-120" windowWidth="29040" windowHeight="15720" tabRatio="909" xr2:uid="{00000000-000D-0000-FFFF-FFFF00000000}"/>
  </bookViews>
  <sheets>
    <sheet name="leggimi" sheetId="38" r:id="rId1"/>
    <sheet name="ts1 reddito" sheetId="3" r:id="rId2"/>
    <sheet name="1.1" sheetId="7" r:id="rId3"/>
    <sheet name="1.2" sheetId="8" r:id="rId4"/>
    <sheet name="1.3" sheetId="9" r:id="rId5"/>
    <sheet name="1.4" sheetId="16" r:id="rId6"/>
    <sheet name="1.5" sheetId="11" r:id="rId7"/>
    <sheet name="1.6" sheetId="12" r:id="rId8"/>
    <sheet name="ts2 frazionamento" sheetId="4" r:id="rId9"/>
    <sheet name="2.1" sheetId="17" r:id="rId10"/>
    <sheet name="2.2" sheetId="18" r:id="rId11"/>
    <sheet name="2.3" sheetId="37" r:id="rId12"/>
    <sheet name="2.4" sheetId="19" r:id="rId13"/>
    <sheet name="2.5" sheetId="20" r:id="rId14"/>
    <sheet name="2.6" sheetId="22" r:id="rId15"/>
    <sheet name="2.7" sheetId="21" r:id="rId16"/>
    <sheet name="2.8" sheetId="24" r:id="rId17"/>
    <sheet name="2.9" sheetId="25" r:id="rId18"/>
    <sheet name="2.10" sheetId="26" r:id="rId19"/>
    <sheet name="ts3 sviluppo" sheetId="5" r:id="rId20"/>
    <sheet name="3.1" sheetId="27" r:id="rId21"/>
    <sheet name="3.2" sheetId="28" r:id="rId22"/>
    <sheet name="3.3" sheetId="29" r:id="rId23"/>
    <sheet name="3.4" sheetId="35" r:id="rId24"/>
    <sheet name="3.5" sheetId="31" r:id="rId25"/>
    <sheet name="3.6" sheetId="32" r:id="rId26"/>
  </sheets>
  <definedNames>
    <definedName name="_xlnm.Print_Area" localSheetId="1">'ts1 reddito'!$F$15:$M$96</definedName>
    <definedName name="_xlnm.Print_Area" localSheetId="8">'ts2 frazionamento'!$E$5:$U$152</definedName>
    <definedName name="_xlnm.Print_Area" localSheetId="19">'ts3 sviluppo'!$D$3:$T$117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5" l="1"/>
  <c r="I41" i="5"/>
  <c r="B10" i="9"/>
  <c r="B8" i="9"/>
  <c r="C9" i="9"/>
  <c r="E9" i="9"/>
  <c r="H51" i="5"/>
  <c r="G51" i="5"/>
  <c r="F51" i="5"/>
  <c r="E51" i="5"/>
  <c r="I28" i="4"/>
  <c r="H28" i="4"/>
  <c r="G28" i="4"/>
  <c r="F28" i="4"/>
  <c r="I14" i="4"/>
  <c r="F2" i="19" s="1"/>
  <c r="I24" i="4"/>
  <c r="D9" i="17"/>
  <c r="C6" i="7"/>
  <c r="O26" i="37"/>
  <c r="N26" i="37"/>
  <c r="M26" i="37"/>
  <c r="L26" i="37"/>
  <c r="K26" i="37"/>
  <c r="J26" i="37"/>
  <c r="I26" i="37"/>
  <c r="H26" i="37"/>
  <c r="G26" i="37"/>
  <c r="F26" i="37"/>
  <c r="E26" i="37"/>
  <c r="D26" i="37"/>
  <c r="C26" i="37"/>
  <c r="B26" i="37"/>
  <c r="C20" i="37"/>
  <c r="O19" i="37"/>
  <c r="N19" i="37"/>
  <c r="M19" i="37"/>
  <c r="L19" i="37"/>
  <c r="K19" i="37"/>
  <c r="J19" i="37"/>
  <c r="I19" i="37"/>
  <c r="H19" i="37"/>
  <c r="G19" i="37"/>
  <c r="F19" i="37"/>
  <c r="E19" i="37"/>
  <c r="D19" i="37"/>
  <c r="C19" i="37"/>
  <c r="B19" i="37"/>
  <c r="C18" i="37"/>
  <c r="O17" i="37"/>
  <c r="N17" i="37"/>
  <c r="M17" i="37"/>
  <c r="L17" i="37"/>
  <c r="K17" i="37"/>
  <c r="J17" i="37"/>
  <c r="I17" i="37"/>
  <c r="H17" i="37"/>
  <c r="G17" i="37"/>
  <c r="F17" i="37"/>
  <c r="E17" i="37"/>
  <c r="D17" i="37"/>
  <c r="C17" i="37"/>
  <c r="O16" i="37"/>
  <c r="N16" i="37"/>
  <c r="M16" i="37"/>
  <c r="L16" i="37"/>
  <c r="K16" i="37"/>
  <c r="J16" i="37"/>
  <c r="I16" i="37"/>
  <c r="H16" i="37"/>
  <c r="G16" i="37"/>
  <c r="F16" i="37"/>
  <c r="E16" i="37"/>
  <c r="D16" i="37"/>
  <c r="C16" i="37"/>
  <c r="B16" i="37"/>
  <c r="C14" i="37"/>
  <c r="C13" i="37"/>
  <c r="C12" i="37"/>
  <c r="C11" i="37"/>
  <c r="C10" i="37"/>
  <c r="C8" i="37"/>
  <c r="C7" i="37"/>
  <c r="C6" i="37"/>
  <c r="C5" i="37"/>
  <c r="C4" i="37"/>
  <c r="O2" i="37"/>
  <c r="N2" i="37"/>
  <c r="M2" i="37"/>
  <c r="L2" i="37"/>
  <c r="K2" i="37"/>
  <c r="J2" i="37"/>
  <c r="I2" i="37"/>
  <c r="H2" i="37"/>
  <c r="G2" i="37"/>
  <c r="F2" i="37"/>
  <c r="E2" i="37"/>
  <c r="D2" i="37"/>
  <c r="C2" i="37"/>
  <c r="F59" i="3"/>
  <c r="L61" i="3"/>
  <c r="K61" i="3"/>
  <c r="I61" i="3"/>
  <c r="H61" i="3"/>
  <c r="B15" i="8" l="1"/>
  <c r="F61" i="3"/>
  <c r="B16" i="8" s="1"/>
  <c r="F77" i="3" l="1"/>
  <c r="B15" i="11" s="1"/>
  <c r="F96" i="3"/>
  <c r="B7" i="12" s="1"/>
  <c r="B92" i="3"/>
  <c r="C92" i="3"/>
  <c r="B93" i="3"/>
  <c r="C93" i="3"/>
  <c r="B94" i="3"/>
  <c r="C94" i="3"/>
  <c r="B95" i="3"/>
  <c r="C95" i="3"/>
  <c r="F88" i="3"/>
  <c r="B26" i="11" s="1"/>
  <c r="F57" i="3"/>
  <c r="B14" i="8" s="1"/>
  <c r="F62" i="3"/>
  <c r="B17" i="8" s="1"/>
  <c r="C15" i="8"/>
  <c r="F8" i="3"/>
  <c r="B6" i="7" s="1"/>
  <c r="I36" i="4" l="1"/>
  <c r="G30" i="3"/>
  <c r="C7" i="16" s="1"/>
  <c r="H15" i="3"/>
  <c r="G15" i="3"/>
  <c r="F33" i="3"/>
  <c r="B10" i="16" s="1"/>
  <c r="G47" i="5"/>
  <c r="F47" i="5"/>
  <c r="E47" i="5"/>
  <c r="G2" i="28"/>
  <c r="G41" i="5"/>
  <c r="D5" i="5"/>
  <c r="D4" i="5"/>
  <c r="D3" i="5"/>
  <c r="D8" i="5"/>
  <c r="D7" i="5"/>
  <c r="D117" i="5"/>
  <c r="B6" i="32" s="1"/>
  <c r="D116" i="5"/>
  <c r="B5" i="32" s="1"/>
  <c r="D115" i="5"/>
  <c r="B4" i="32" s="1"/>
  <c r="D114" i="5"/>
  <c r="D113" i="5"/>
  <c r="D112" i="5"/>
  <c r="D111" i="5"/>
  <c r="D110" i="5"/>
  <c r="D109" i="5"/>
  <c r="D108" i="5"/>
  <c r="B3" i="32" s="1"/>
  <c r="D106" i="5"/>
  <c r="B15" i="31" s="1"/>
  <c r="D105" i="5"/>
  <c r="B14" i="31" s="1"/>
  <c r="D104" i="5"/>
  <c r="B13" i="31" s="1"/>
  <c r="D103" i="5"/>
  <c r="B12" i="31" s="1"/>
  <c r="D102" i="5"/>
  <c r="B11" i="31" s="1"/>
  <c r="D101" i="5"/>
  <c r="B10" i="31" s="1"/>
  <c r="D100" i="5"/>
  <c r="B8" i="31" s="1"/>
  <c r="D99" i="5"/>
  <c r="B7" i="31" s="1"/>
  <c r="D98" i="5"/>
  <c r="D97" i="5"/>
  <c r="D96" i="5"/>
  <c r="D95" i="5"/>
  <c r="B3" i="31" s="1"/>
  <c r="D94" i="5"/>
  <c r="B2" i="31" s="1"/>
  <c r="D91" i="5"/>
  <c r="B31" i="35" s="1"/>
  <c r="D90" i="5"/>
  <c r="B30" i="35" s="1"/>
  <c r="D89" i="5"/>
  <c r="B29" i="35" s="1"/>
  <c r="D88" i="5"/>
  <c r="B28" i="35" s="1"/>
  <c r="D87" i="5"/>
  <c r="B27" i="35" s="1"/>
  <c r="D86" i="5"/>
  <c r="B26" i="35" s="1"/>
  <c r="D84" i="5"/>
  <c r="B24" i="35" s="1"/>
  <c r="D83" i="5"/>
  <c r="B23" i="35" s="1"/>
  <c r="D82" i="5"/>
  <c r="D81" i="5"/>
  <c r="B21" i="35" s="1"/>
  <c r="D80" i="5"/>
  <c r="B20" i="35" s="1"/>
  <c r="D79" i="5"/>
  <c r="B19" i="35" s="1"/>
  <c r="D78" i="5"/>
  <c r="D77" i="5"/>
  <c r="B17" i="35" s="1"/>
  <c r="D76" i="5"/>
  <c r="B16" i="35" s="1"/>
  <c r="D74" i="5"/>
  <c r="B14" i="35" s="1"/>
  <c r="D73" i="5"/>
  <c r="B13" i="35" s="1"/>
  <c r="D72" i="5"/>
  <c r="D71" i="5"/>
  <c r="B11" i="35" s="1"/>
  <c r="D70" i="5"/>
  <c r="D69" i="5"/>
  <c r="B9" i="35" s="1"/>
  <c r="D68" i="5"/>
  <c r="B8" i="35" s="1"/>
  <c r="D67" i="5"/>
  <c r="B7" i="35" s="1"/>
  <c r="D66" i="5"/>
  <c r="B6" i="35" s="1"/>
  <c r="D65" i="5"/>
  <c r="B5" i="35" s="1"/>
  <c r="D64" i="5"/>
  <c r="B4" i="35" s="1"/>
  <c r="D63" i="5"/>
  <c r="B3" i="35" s="1"/>
  <c r="D62" i="5"/>
  <c r="B2" i="35" s="1"/>
  <c r="D60" i="5"/>
  <c r="D59" i="5"/>
  <c r="D58" i="5"/>
  <c r="D57" i="5"/>
  <c r="D56" i="5"/>
  <c r="D54" i="5"/>
  <c r="D53" i="5"/>
  <c r="D51" i="5"/>
  <c r="B6" i="29" s="1"/>
  <c r="D50" i="5"/>
  <c r="B5" i="29" s="1"/>
  <c r="D49" i="5"/>
  <c r="B4" i="29" s="1"/>
  <c r="D48" i="5"/>
  <c r="B3" i="29" s="1"/>
  <c r="D47" i="5"/>
  <c r="D45" i="5"/>
  <c r="B6" i="28" s="1"/>
  <c r="D44" i="5"/>
  <c r="B5" i="28" s="1"/>
  <c r="D43" i="5"/>
  <c r="B4" i="28" s="1"/>
  <c r="D42" i="5"/>
  <c r="D41" i="5"/>
  <c r="D39" i="5"/>
  <c r="B18" i="27" s="1"/>
  <c r="D38" i="5"/>
  <c r="B17" i="27" s="1"/>
  <c r="D36" i="5"/>
  <c r="D35" i="5"/>
  <c r="D34" i="5"/>
  <c r="D33" i="5"/>
  <c r="D32" i="5"/>
  <c r="D31" i="5"/>
  <c r="D30" i="5"/>
  <c r="B15" i="27" s="1"/>
  <c r="D29" i="5"/>
  <c r="D27" i="5"/>
  <c r="D26" i="5"/>
  <c r="D25" i="5"/>
  <c r="D24" i="5"/>
  <c r="D22" i="5"/>
  <c r="B13" i="27" s="1"/>
  <c r="D21" i="5"/>
  <c r="D20" i="5"/>
  <c r="B11" i="27" s="1"/>
  <c r="D19" i="5"/>
  <c r="B10" i="27" s="1"/>
  <c r="D18" i="5"/>
  <c r="B9" i="27" s="1"/>
  <c r="D17" i="5"/>
  <c r="D15" i="5"/>
  <c r="B6" i="27" s="1"/>
  <c r="D14" i="5"/>
  <c r="B5" i="27" s="1"/>
  <c r="D13" i="5"/>
  <c r="D12" i="5"/>
  <c r="D11" i="5"/>
  <c r="B2" i="27" s="1"/>
  <c r="C6" i="5"/>
  <c r="B6" i="5"/>
  <c r="D6" i="5" s="1"/>
  <c r="G36" i="4"/>
  <c r="F36" i="4"/>
  <c r="H36" i="4"/>
  <c r="F2" i="21"/>
  <c r="C151" i="4"/>
  <c r="C150" i="4"/>
  <c r="E6" i="4"/>
  <c r="K5" i="4"/>
  <c r="J5" i="4"/>
  <c r="I5" i="4"/>
  <c r="D2" i="20" s="1"/>
  <c r="H5" i="4"/>
  <c r="G5" i="4"/>
  <c r="C2" i="20" s="1"/>
  <c r="F5" i="4"/>
  <c r="C2" i="17" s="1"/>
  <c r="E152" i="4"/>
  <c r="B7" i="26" s="1"/>
  <c r="E151" i="4"/>
  <c r="B6" i="26" s="1"/>
  <c r="E150" i="4"/>
  <c r="B5" i="26" s="1"/>
  <c r="E147" i="4"/>
  <c r="B2" i="26" s="1"/>
  <c r="E145" i="4"/>
  <c r="B26" i="25" s="1"/>
  <c r="E144" i="4"/>
  <c r="B25" i="25" s="1"/>
  <c r="E143" i="4"/>
  <c r="B24" i="25" s="1"/>
  <c r="E142" i="4"/>
  <c r="B23" i="25" s="1"/>
  <c r="E141" i="4"/>
  <c r="B22" i="25" s="1"/>
  <c r="E140" i="4"/>
  <c r="E139" i="4"/>
  <c r="B20" i="25" s="1"/>
  <c r="E138" i="4"/>
  <c r="B19" i="25" s="1"/>
  <c r="E137" i="4"/>
  <c r="E135" i="4"/>
  <c r="B16" i="25" s="1"/>
  <c r="E134" i="4"/>
  <c r="B15" i="25" s="1"/>
  <c r="E133" i="4"/>
  <c r="B14" i="25" s="1"/>
  <c r="E132" i="4"/>
  <c r="B13" i="25" s="1"/>
  <c r="E131" i="4"/>
  <c r="E130" i="4"/>
  <c r="B11" i="25" s="1"/>
  <c r="E129" i="4"/>
  <c r="B10" i="25" s="1"/>
  <c r="E128" i="4"/>
  <c r="B9" i="25" s="1"/>
  <c r="E127" i="4"/>
  <c r="E126" i="4"/>
  <c r="B7" i="25" s="1"/>
  <c r="E125" i="4"/>
  <c r="B6" i="25" s="1"/>
  <c r="E124" i="4"/>
  <c r="B5" i="25" s="1"/>
  <c r="E123" i="4"/>
  <c r="E122" i="4"/>
  <c r="B3" i="25" s="1"/>
  <c r="E121" i="4"/>
  <c r="B2" i="25" s="1"/>
  <c r="E119" i="4"/>
  <c r="B30" i="24" s="1"/>
  <c r="E118" i="4"/>
  <c r="E117" i="4"/>
  <c r="B28" i="24" s="1"/>
  <c r="E116" i="4"/>
  <c r="B27" i="24" s="1"/>
  <c r="E115" i="4"/>
  <c r="B26" i="24" s="1"/>
  <c r="E114" i="4"/>
  <c r="E113" i="4"/>
  <c r="B24" i="24" s="1"/>
  <c r="E112" i="4"/>
  <c r="B23" i="24" s="1"/>
  <c r="E111" i="4"/>
  <c r="B22" i="24" s="1"/>
  <c r="E109" i="4"/>
  <c r="E108" i="4"/>
  <c r="B19" i="24" s="1"/>
  <c r="E107" i="4"/>
  <c r="B18" i="24" s="1"/>
  <c r="E106" i="4"/>
  <c r="B17" i="24" s="1"/>
  <c r="E105" i="4"/>
  <c r="E104" i="4"/>
  <c r="B15" i="24" s="1"/>
  <c r="E103" i="4"/>
  <c r="B14" i="24" s="1"/>
  <c r="E102" i="4"/>
  <c r="B13" i="24" s="1"/>
  <c r="E101" i="4"/>
  <c r="E99" i="4"/>
  <c r="B10" i="24" s="1"/>
  <c r="E98" i="4"/>
  <c r="E97" i="4"/>
  <c r="B8" i="24" s="1"/>
  <c r="E96" i="4"/>
  <c r="E95" i="4"/>
  <c r="B6" i="24" s="1"/>
  <c r="E94" i="4"/>
  <c r="B5" i="24" s="1"/>
  <c r="E93" i="4"/>
  <c r="B4" i="24" s="1"/>
  <c r="E92" i="4"/>
  <c r="E91" i="4"/>
  <c r="B2" i="24" s="1"/>
  <c r="E89" i="4"/>
  <c r="E88" i="4"/>
  <c r="B7" i="22" s="1"/>
  <c r="E87" i="4"/>
  <c r="E86" i="4"/>
  <c r="B5" i="22" s="1"/>
  <c r="E85" i="4"/>
  <c r="B4" i="22" s="1"/>
  <c r="E84" i="4"/>
  <c r="B3" i="22" s="1"/>
  <c r="E83" i="4"/>
  <c r="E80" i="4"/>
  <c r="E79" i="4"/>
  <c r="E77" i="4"/>
  <c r="E76" i="4"/>
  <c r="B24" i="37" s="1"/>
  <c r="E75" i="4"/>
  <c r="E74" i="4"/>
  <c r="E73" i="4"/>
  <c r="E72" i="4"/>
  <c r="B20" i="37" s="1"/>
  <c r="E70" i="4"/>
  <c r="E69" i="4"/>
  <c r="B17" i="37" s="1"/>
  <c r="E67" i="4"/>
  <c r="E66" i="4"/>
  <c r="B14" i="37" s="1"/>
  <c r="E65" i="4"/>
  <c r="E64" i="4"/>
  <c r="E63" i="4"/>
  <c r="E62" i="4"/>
  <c r="B10" i="37" s="1"/>
  <c r="E61" i="4"/>
  <c r="E60" i="4"/>
  <c r="B8" i="37" s="1"/>
  <c r="E59" i="4"/>
  <c r="B7" i="37" s="1"/>
  <c r="E58" i="4"/>
  <c r="B6" i="37" s="1"/>
  <c r="E57" i="4"/>
  <c r="B5" i="37" s="1"/>
  <c r="E56" i="4"/>
  <c r="B4" i="37" s="1"/>
  <c r="E55" i="4"/>
  <c r="B3" i="37" s="1"/>
  <c r="E54" i="4"/>
  <c r="B2" i="37" s="1"/>
  <c r="E52" i="4"/>
  <c r="E51" i="4"/>
  <c r="E50" i="4"/>
  <c r="E49" i="4"/>
  <c r="E48" i="4"/>
  <c r="E47" i="4"/>
  <c r="E46" i="4"/>
  <c r="B7" i="18" s="1"/>
  <c r="E45" i="4"/>
  <c r="E44" i="4"/>
  <c r="B5" i="18" s="1"/>
  <c r="E43" i="4"/>
  <c r="B4" i="18" s="1"/>
  <c r="E42" i="4"/>
  <c r="B3" i="18" s="1"/>
  <c r="E41" i="4"/>
  <c r="E40" i="4"/>
  <c r="E38" i="4"/>
  <c r="E37" i="4"/>
  <c r="E36" i="4"/>
  <c r="E34" i="4"/>
  <c r="E33" i="4"/>
  <c r="E32" i="4"/>
  <c r="E31" i="4"/>
  <c r="E29" i="4"/>
  <c r="E28" i="4"/>
  <c r="B6" i="21" s="1"/>
  <c r="E27" i="4"/>
  <c r="E26" i="4"/>
  <c r="E25" i="4"/>
  <c r="B3" i="21" s="1"/>
  <c r="E24" i="4"/>
  <c r="B2" i="21" s="1"/>
  <c r="E22" i="4"/>
  <c r="B10" i="19" s="1"/>
  <c r="E21" i="4"/>
  <c r="E20" i="4"/>
  <c r="B8" i="19" s="1"/>
  <c r="E19" i="4"/>
  <c r="B7" i="19" s="1"/>
  <c r="E18" i="4"/>
  <c r="B6" i="19" s="1"/>
  <c r="E17" i="4"/>
  <c r="E16" i="4"/>
  <c r="B4" i="19" s="1"/>
  <c r="E15" i="4"/>
  <c r="B3" i="19" s="1"/>
  <c r="E14" i="4"/>
  <c r="B2" i="19" s="1"/>
  <c r="E12" i="4"/>
  <c r="E11" i="4"/>
  <c r="B8" i="20" s="1"/>
  <c r="E10" i="4"/>
  <c r="B7" i="17" s="1"/>
  <c r="E9" i="4"/>
  <c r="B6" i="20" s="1"/>
  <c r="E8" i="4"/>
  <c r="E7" i="4"/>
  <c r="B4" i="20" s="1"/>
  <c r="E5" i="4"/>
  <c r="C149" i="4"/>
  <c r="B149" i="4"/>
  <c r="C148" i="4"/>
  <c r="B148" i="4"/>
  <c r="B5" i="16"/>
  <c r="F95" i="3"/>
  <c r="B6" i="12" s="1"/>
  <c r="F87" i="3"/>
  <c r="B25" i="11" s="1"/>
  <c r="F86" i="3"/>
  <c r="B24" i="11" s="1"/>
  <c r="F85" i="3"/>
  <c r="B23" i="11" s="1"/>
  <c r="F84" i="3"/>
  <c r="B22" i="11" s="1"/>
  <c r="F83" i="3"/>
  <c r="B21" i="11" s="1"/>
  <c r="F82" i="3"/>
  <c r="B20" i="11" s="1"/>
  <c r="F81" i="3"/>
  <c r="B19" i="11" s="1"/>
  <c r="F80" i="3"/>
  <c r="B18" i="11" s="1"/>
  <c r="F79" i="3"/>
  <c r="F76" i="3"/>
  <c r="B14" i="11" s="1"/>
  <c r="F75" i="3"/>
  <c r="B13" i="11" s="1"/>
  <c r="F74" i="3"/>
  <c r="B12" i="11" s="1"/>
  <c r="F73" i="3"/>
  <c r="F72" i="3"/>
  <c r="B10" i="11" s="1"/>
  <c r="F71" i="3"/>
  <c r="B9" i="11" s="1"/>
  <c r="F70" i="3"/>
  <c r="B8" i="11" s="1"/>
  <c r="F69" i="3"/>
  <c r="B7" i="11" s="1"/>
  <c r="F68" i="3"/>
  <c r="B6" i="11" s="1"/>
  <c r="F67" i="3"/>
  <c r="B5" i="11" s="1"/>
  <c r="F66" i="3"/>
  <c r="B4" i="11" s="1"/>
  <c r="F65" i="3"/>
  <c r="B3" i="11" s="1"/>
  <c r="F64" i="3"/>
  <c r="B2" i="11" s="1"/>
  <c r="F60" i="3"/>
  <c r="F56" i="3"/>
  <c r="B13" i="8" s="1"/>
  <c r="F53" i="3"/>
  <c r="B10" i="8" s="1"/>
  <c r="F52" i="3"/>
  <c r="B9" i="8" s="1"/>
  <c r="F51" i="3"/>
  <c r="B8" i="8" s="1"/>
  <c r="F50" i="3"/>
  <c r="B7" i="8" s="1"/>
  <c r="F49" i="3"/>
  <c r="B5" i="7" s="1"/>
  <c r="F48" i="3"/>
  <c r="B5" i="8" s="1"/>
  <c r="F47" i="3"/>
  <c r="B3" i="8" s="1"/>
  <c r="F46" i="3"/>
  <c r="F44" i="3"/>
  <c r="F43" i="3"/>
  <c r="B9" i="9" s="1"/>
  <c r="F42" i="3"/>
  <c r="F40" i="3"/>
  <c r="F39" i="3"/>
  <c r="B4" i="9" s="1"/>
  <c r="F38" i="3"/>
  <c r="B3" i="9" s="1"/>
  <c r="F37" i="3"/>
  <c r="F36" i="3"/>
  <c r="F7" i="3"/>
  <c r="B4" i="7" s="1"/>
  <c r="F6" i="3"/>
  <c r="B3" i="7" s="1"/>
  <c r="F5" i="3"/>
  <c r="B2" i="7" s="1"/>
  <c r="F4" i="3"/>
  <c r="F32" i="3"/>
  <c r="B9" i="16" s="1"/>
  <c r="F31" i="3"/>
  <c r="B8" i="16" s="1"/>
  <c r="F30" i="3"/>
  <c r="B7" i="16" s="1"/>
  <c r="F29" i="3"/>
  <c r="F27" i="3"/>
  <c r="F26" i="3"/>
  <c r="B3" i="16" s="1"/>
  <c r="F25" i="3"/>
  <c r="B2" i="16" s="1"/>
  <c r="F24" i="3"/>
  <c r="F22" i="3"/>
  <c r="F21" i="3"/>
  <c r="F20" i="3"/>
  <c r="F18" i="3"/>
  <c r="F17" i="3"/>
  <c r="F16" i="3"/>
  <c r="F15" i="3"/>
  <c r="F12" i="3"/>
  <c r="F11" i="3"/>
  <c r="F94" i="3"/>
  <c r="B5" i="12" s="1"/>
  <c r="F93" i="3"/>
  <c r="B4" i="12" s="1"/>
  <c r="F92" i="3"/>
  <c r="B3" i="12" s="1"/>
  <c r="F91" i="3"/>
  <c r="B2" i="12" s="1"/>
  <c r="C2" i="35"/>
  <c r="D2" i="35"/>
  <c r="C3" i="35"/>
  <c r="C5" i="35"/>
  <c r="C6" i="35"/>
  <c r="C7" i="35"/>
  <c r="C9" i="35"/>
  <c r="C10" i="35"/>
  <c r="C11" i="35"/>
  <c r="C12" i="35"/>
  <c r="C13" i="35"/>
  <c r="C16" i="35"/>
  <c r="D16" i="35"/>
  <c r="C17" i="35"/>
  <c r="C18" i="35"/>
  <c r="C19" i="35"/>
  <c r="C20" i="35"/>
  <c r="C21" i="35"/>
  <c r="C22" i="35"/>
  <c r="C23" i="35"/>
  <c r="C26" i="35"/>
  <c r="D26" i="35"/>
  <c r="C27" i="35"/>
  <c r="C31" i="35"/>
  <c r="M26" i="35"/>
  <c r="L26" i="35"/>
  <c r="K26" i="35"/>
  <c r="J26" i="35"/>
  <c r="I26" i="35"/>
  <c r="H26" i="35"/>
  <c r="G26" i="35"/>
  <c r="F26" i="35"/>
  <c r="E26" i="35"/>
  <c r="M16" i="35"/>
  <c r="L16" i="35"/>
  <c r="K16" i="35"/>
  <c r="J16" i="35"/>
  <c r="I16" i="35"/>
  <c r="H16" i="35"/>
  <c r="G16" i="35"/>
  <c r="F16" i="35"/>
  <c r="E16" i="35"/>
  <c r="B22" i="35"/>
  <c r="B18" i="35"/>
  <c r="B12" i="35"/>
  <c r="B10" i="35"/>
  <c r="N26" i="35"/>
  <c r="N16" i="35"/>
  <c r="N2" i="35"/>
  <c r="M2" i="35"/>
  <c r="L2" i="35"/>
  <c r="K2" i="35"/>
  <c r="J2" i="35"/>
  <c r="I2" i="35"/>
  <c r="H2" i="35"/>
  <c r="G2" i="35"/>
  <c r="F2" i="35"/>
  <c r="E2" i="35"/>
  <c r="N15" i="27"/>
  <c r="B3" i="27"/>
  <c r="B3" i="24"/>
  <c r="B4" i="27"/>
  <c r="B5" i="31"/>
  <c r="B4" i="31"/>
  <c r="B6" i="31"/>
  <c r="H50" i="5"/>
  <c r="F5" i="29" s="1"/>
  <c r="E50" i="5"/>
  <c r="C5" i="29" s="1"/>
  <c r="K2" i="32"/>
  <c r="J2" i="32"/>
  <c r="I2" i="32"/>
  <c r="H2" i="32"/>
  <c r="G2" i="32"/>
  <c r="F2" i="32"/>
  <c r="E2" i="32"/>
  <c r="D2" i="32"/>
  <c r="C2" i="32"/>
  <c r="C2" i="31"/>
  <c r="R37" i="5"/>
  <c r="M35" i="5"/>
  <c r="K16" i="27" s="1"/>
  <c r="L35" i="5"/>
  <c r="J16" i="27" s="1"/>
  <c r="K35" i="5"/>
  <c r="I16" i="27" s="1"/>
  <c r="J35" i="5"/>
  <c r="H16" i="27" s="1"/>
  <c r="I35" i="5"/>
  <c r="H35" i="5"/>
  <c r="F16" i="27" s="1"/>
  <c r="G35" i="5"/>
  <c r="E16" i="27" s="1"/>
  <c r="F35" i="5"/>
  <c r="D16" i="27" s="1"/>
  <c r="N35" i="5"/>
  <c r="L16" i="27" s="1"/>
  <c r="C12" i="31"/>
  <c r="C11" i="31"/>
  <c r="C10" i="31"/>
  <c r="O2" i="31"/>
  <c r="N2" i="31"/>
  <c r="M2" i="31"/>
  <c r="L2" i="31"/>
  <c r="K2" i="31"/>
  <c r="J2" i="31"/>
  <c r="I2" i="31"/>
  <c r="H2" i="31"/>
  <c r="G2" i="31"/>
  <c r="F2" i="31"/>
  <c r="E2" i="31"/>
  <c r="D2" i="31"/>
  <c r="F49" i="5"/>
  <c r="F50" i="5" s="1"/>
  <c r="C4" i="29"/>
  <c r="F3" i="29"/>
  <c r="E3" i="29"/>
  <c r="D3" i="29"/>
  <c r="C3" i="29"/>
  <c r="F2" i="29"/>
  <c r="E2" i="29"/>
  <c r="D2" i="29"/>
  <c r="C2" i="29"/>
  <c r="B2" i="29"/>
  <c r="H5" i="28"/>
  <c r="F5" i="28"/>
  <c r="D5" i="28"/>
  <c r="G4" i="28"/>
  <c r="E4" i="28"/>
  <c r="C4" i="28"/>
  <c r="C3" i="28"/>
  <c r="B3" i="28"/>
  <c r="E2" i="28"/>
  <c r="C8" i="27"/>
  <c r="C16" i="27"/>
  <c r="B16" i="27"/>
  <c r="B14" i="27"/>
  <c r="B12" i="27"/>
  <c r="N8" i="27"/>
  <c r="M8" i="27"/>
  <c r="L8" i="27"/>
  <c r="K8" i="27"/>
  <c r="J8" i="27"/>
  <c r="I8" i="27"/>
  <c r="H8" i="27"/>
  <c r="G8" i="27"/>
  <c r="F8" i="27"/>
  <c r="E8" i="27"/>
  <c r="D8" i="27"/>
  <c r="M6" i="27"/>
  <c r="L6" i="27"/>
  <c r="K6" i="27"/>
  <c r="J6" i="27"/>
  <c r="I6" i="27"/>
  <c r="H6" i="27"/>
  <c r="G6" i="27"/>
  <c r="F6" i="27"/>
  <c r="E6" i="27"/>
  <c r="D6" i="27"/>
  <c r="C6" i="27"/>
  <c r="M5" i="27"/>
  <c r="L5" i="27"/>
  <c r="K5" i="27"/>
  <c r="J5" i="27"/>
  <c r="I5" i="27"/>
  <c r="H5" i="27"/>
  <c r="G5" i="27"/>
  <c r="F5" i="27"/>
  <c r="E5" i="27"/>
  <c r="D5" i="27"/>
  <c r="C5" i="27"/>
  <c r="M4" i="27"/>
  <c r="L4" i="27"/>
  <c r="K4" i="27"/>
  <c r="J4" i="27"/>
  <c r="I4" i="27"/>
  <c r="H4" i="27"/>
  <c r="G4" i="27"/>
  <c r="F4" i="27"/>
  <c r="E4" i="27"/>
  <c r="D4" i="27"/>
  <c r="C4" i="27"/>
  <c r="M3" i="27"/>
  <c r="L3" i="27"/>
  <c r="K3" i="27"/>
  <c r="J3" i="27"/>
  <c r="I3" i="27"/>
  <c r="H3" i="27"/>
  <c r="G3" i="27"/>
  <c r="F3" i="27"/>
  <c r="E3" i="27"/>
  <c r="D3" i="27"/>
  <c r="C3" i="27"/>
  <c r="M2" i="27"/>
  <c r="L2" i="27"/>
  <c r="K2" i="27"/>
  <c r="J2" i="27"/>
  <c r="I2" i="27"/>
  <c r="H2" i="27"/>
  <c r="G2" i="27"/>
  <c r="F2" i="27"/>
  <c r="E2" i="27"/>
  <c r="D2" i="27"/>
  <c r="C2" i="27"/>
  <c r="G16" i="27"/>
  <c r="N104" i="5"/>
  <c r="L13" i="31" s="1"/>
  <c r="M104" i="5"/>
  <c r="K13" i="31" s="1"/>
  <c r="L104" i="5"/>
  <c r="J13" i="31" s="1"/>
  <c r="K104" i="5"/>
  <c r="I13" i="31" s="1"/>
  <c r="J104" i="5"/>
  <c r="H13" i="31" s="1"/>
  <c r="I104" i="5"/>
  <c r="G13" i="31" s="1"/>
  <c r="H104" i="5"/>
  <c r="F13" i="31" s="1"/>
  <c r="G104" i="5"/>
  <c r="E13" i="31" s="1"/>
  <c r="E104" i="5"/>
  <c r="C13" i="31" s="1"/>
  <c r="F104" i="5"/>
  <c r="D13" i="31" s="1"/>
  <c r="E84" i="5"/>
  <c r="C24" i="35" s="1"/>
  <c r="P102" i="5"/>
  <c r="O102" i="5"/>
  <c r="M11" i="31" s="1"/>
  <c r="O2" i="26"/>
  <c r="N2" i="26"/>
  <c r="M2" i="26"/>
  <c r="L2" i="26"/>
  <c r="K2" i="26"/>
  <c r="J2" i="26"/>
  <c r="I2" i="26"/>
  <c r="H2" i="26"/>
  <c r="G2" i="26"/>
  <c r="F2" i="26"/>
  <c r="E2" i="26"/>
  <c r="D2" i="26"/>
  <c r="C2" i="26"/>
  <c r="B21" i="25"/>
  <c r="L20" i="25"/>
  <c r="K20" i="25"/>
  <c r="J20" i="25"/>
  <c r="I20" i="25"/>
  <c r="H20" i="25"/>
  <c r="G20" i="25"/>
  <c r="F20" i="25"/>
  <c r="E20" i="25"/>
  <c r="D20" i="25"/>
  <c r="B18" i="25"/>
  <c r="B12" i="25"/>
  <c r="B8" i="25"/>
  <c r="B4" i="25"/>
  <c r="M2" i="25"/>
  <c r="L2" i="25"/>
  <c r="K2" i="25"/>
  <c r="J2" i="25"/>
  <c r="I2" i="25"/>
  <c r="H2" i="25"/>
  <c r="G2" i="25"/>
  <c r="F2" i="25"/>
  <c r="E2" i="25"/>
  <c r="D2" i="25"/>
  <c r="C2" i="25"/>
  <c r="B29" i="24"/>
  <c r="L28" i="24"/>
  <c r="K28" i="24"/>
  <c r="J28" i="24"/>
  <c r="I28" i="24"/>
  <c r="H28" i="24"/>
  <c r="C27" i="24"/>
  <c r="B25" i="24"/>
  <c r="L24" i="24"/>
  <c r="K24" i="24"/>
  <c r="J24" i="24"/>
  <c r="I24" i="24"/>
  <c r="H24" i="24"/>
  <c r="G24" i="24"/>
  <c r="F24" i="24"/>
  <c r="E24" i="24"/>
  <c r="D24" i="24"/>
  <c r="M22" i="24"/>
  <c r="L22" i="24"/>
  <c r="K22" i="24"/>
  <c r="J22" i="24"/>
  <c r="I22" i="24"/>
  <c r="H22" i="24"/>
  <c r="G22" i="24"/>
  <c r="F22" i="24"/>
  <c r="E22" i="24"/>
  <c r="D22" i="24"/>
  <c r="C22" i="24"/>
  <c r="B20" i="24"/>
  <c r="C17" i="24"/>
  <c r="B16" i="24"/>
  <c r="L14" i="24"/>
  <c r="K14" i="24"/>
  <c r="J14" i="24"/>
  <c r="I14" i="24"/>
  <c r="H14" i="24"/>
  <c r="G14" i="24"/>
  <c r="F14" i="24"/>
  <c r="E14" i="24"/>
  <c r="D14" i="24"/>
  <c r="M12" i="24"/>
  <c r="L12" i="24"/>
  <c r="K12" i="24"/>
  <c r="J12" i="24"/>
  <c r="I12" i="24"/>
  <c r="H12" i="24"/>
  <c r="G12" i="24"/>
  <c r="F12" i="24"/>
  <c r="E12" i="24"/>
  <c r="D12" i="24"/>
  <c r="C12" i="24"/>
  <c r="B12" i="24"/>
  <c r="B9" i="24"/>
  <c r="C7" i="24"/>
  <c r="B7" i="24"/>
  <c r="L4" i="24"/>
  <c r="K4" i="24"/>
  <c r="J4" i="24"/>
  <c r="I4" i="24"/>
  <c r="H4" i="24"/>
  <c r="G4" i="24"/>
  <c r="F4" i="24"/>
  <c r="E4" i="24"/>
  <c r="D4" i="24"/>
  <c r="M2" i="24"/>
  <c r="L2" i="24"/>
  <c r="K2" i="24"/>
  <c r="J2" i="24"/>
  <c r="I2" i="24"/>
  <c r="H2" i="24"/>
  <c r="G2" i="24"/>
  <c r="F2" i="24"/>
  <c r="E2" i="24"/>
  <c r="D2" i="24"/>
  <c r="C2" i="24"/>
  <c r="B8" i="22"/>
  <c r="D8" i="22"/>
  <c r="D7" i="22"/>
  <c r="D6" i="22"/>
  <c r="B6" i="22"/>
  <c r="D5" i="22"/>
  <c r="D4" i="22"/>
  <c r="D3" i="22"/>
  <c r="M2" i="22"/>
  <c r="L2" i="22"/>
  <c r="K2" i="22"/>
  <c r="J2" i="22"/>
  <c r="I2" i="22"/>
  <c r="H2" i="22"/>
  <c r="G2" i="22"/>
  <c r="F2" i="22"/>
  <c r="E2" i="22"/>
  <c r="D2" i="22"/>
  <c r="G25" i="4"/>
  <c r="H25" i="4" s="1"/>
  <c r="I25" i="4" s="1"/>
  <c r="F3" i="21" s="1"/>
  <c r="B7" i="21"/>
  <c r="B5" i="21"/>
  <c r="F4" i="21"/>
  <c r="E4" i="21"/>
  <c r="D4" i="21"/>
  <c r="C4" i="21"/>
  <c r="B4" i="21"/>
  <c r="C3" i="21"/>
  <c r="E2" i="21"/>
  <c r="D2" i="21"/>
  <c r="C2" i="21"/>
  <c r="C7" i="20"/>
  <c r="C6" i="20"/>
  <c r="C5" i="20"/>
  <c r="B5" i="20"/>
  <c r="C4" i="20"/>
  <c r="C3" i="20"/>
  <c r="B3" i="20"/>
  <c r="F2" i="20"/>
  <c r="E2" i="20"/>
  <c r="B9" i="19"/>
  <c r="E6" i="19"/>
  <c r="B5" i="19"/>
  <c r="E4" i="19"/>
  <c r="D4" i="19"/>
  <c r="C4" i="19"/>
  <c r="F3" i="19"/>
  <c r="E3" i="19"/>
  <c r="D3" i="19"/>
  <c r="C3" i="19"/>
  <c r="E2" i="19"/>
  <c r="D2" i="19"/>
  <c r="C2" i="19"/>
  <c r="L7" i="18"/>
  <c r="J6" i="18"/>
  <c r="I5" i="18"/>
  <c r="H4" i="18"/>
  <c r="F3" i="18"/>
  <c r="L2" i="18"/>
  <c r="K2" i="18"/>
  <c r="J2" i="18"/>
  <c r="I2" i="18"/>
  <c r="H2" i="18"/>
  <c r="G2" i="18"/>
  <c r="F2" i="18"/>
  <c r="E2" i="18"/>
  <c r="D2" i="18"/>
  <c r="C2" i="18"/>
  <c r="B6" i="18"/>
  <c r="F55" i="4"/>
  <c r="F139" i="4"/>
  <c r="F141" i="4" s="1"/>
  <c r="R140" i="4"/>
  <c r="Q140" i="4"/>
  <c r="P140" i="4"/>
  <c r="L21" i="25" s="1"/>
  <c r="O140" i="4"/>
  <c r="K21" i="25" s="1"/>
  <c r="N140" i="4"/>
  <c r="J21" i="25" s="1"/>
  <c r="M140" i="4"/>
  <c r="I21" i="25" s="1"/>
  <c r="L140" i="4"/>
  <c r="H21" i="25" s="1"/>
  <c r="K140" i="4"/>
  <c r="G21" i="25" s="1"/>
  <c r="J140" i="4"/>
  <c r="F21" i="25" s="1"/>
  <c r="I140" i="4"/>
  <c r="E21" i="25" s="1"/>
  <c r="H140" i="4"/>
  <c r="D21" i="25" s="1"/>
  <c r="R94" i="4"/>
  <c r="Q94" i="4"/>
  <c r="P94" i="4"/>
  <c r="L5" i="24" s="1"/>
  <c r="O94" i="4"/>
  <c r="K5" i="24" s="1"/>
  <c r="N94" i="4"/>
  <c r="J5" i="24" s="1"/>
  <c r="M94" i="4"/>
  <c r="I5" i="24" s="1"/>
  <c r="L94" i="4"/>
  <c r="H5" i="24" s="1"/>
  <c r="K94" i="4"/>
  <c r="G5" i="24" s="1"/>
  <c r="J94" i="4"/>
  <c r="F5" i="24" s="1"/>
  <c r="R104" i="4"/>
  <c r="Q104" i="4"/>
  <c r="P104" i="4"/>
  <c r="L15" i="24" s="1"/>
  <c r="O104" i="4"/>
  <c r="K15" i="24" s="1"/>
  <c r="N104" i="4"/>
  <c r="J15" i="24" s="1"/>
  <c r="M104" i="4"/>
  <c r="I15" i="24" s="1"/>
  <c r="L104" i="4"/>
  <c r="H15" i="24" s="1"/>
  <c r="K104" i="4"/>
  <c r="G15" i="24" s="1"/>
  <c r="J104" i="4"/>
  <c r="F15" i="24" s="1"/>
  <c r="R114" i="4"/>
  <c r="Q114" i="4"/>
  <c r="P114" i="4"/>
  <c r="O114" i="4"/>
  <c r="N114" i="4"/>
  <c r="M114" i="4"/>
  <c r="L114" i="4"/>
  <c r="K114" i="4"/>
  <c r="J114" i="4"/>
  <c r="F47" i="4"/>
  <c r="F48" i="4"/>
  <c r="F49" i="4"/>
  <c r="F50" i="4"/>
  <c r="F51" i="4"/>
  <c r="B9" i="17"/>
  <c r="C8" i="17"/>
  <c r="E7" i="17"/>
  <c r="E6" i="17"/>
  <c r="E5" i="17"/>
  <c r="B5" i="17"/>
  <c r="E4" i="17"/>
  <c r="E3" i="17"/>
  <c r="B3" i="17"/>
  <c r="D2" i="17"/>
  <c r="D7" i="16"/>
  <c r="C5" i="16"/>
  <c r="C4" i="16"/>
  <c r="B4" i="16"/>
  <c r="C3" i="16"/>
  <c r="G33" i="3"/>
  <c r="C10" i="16" s="1"/>
  <c r="G32" i="3"/>
  <c r="C9" i="16" s="1"/>
  <c r="G31" i="3"/>
  <c r="C8" i="16" s="1"/>
  <c r="H31" i="3"/>
  <c r="D8" i="16" s="1"/>
  <c r="E2" i="9"/>
  <c r="D2" i="9"/>
  <c r="C2" i="9"/>
  <c r="H43" i="5"/>
  <c r="F4" i="28" s="1"/>
  <c r="H19" i="4"/>
  <c r="E7" i="19" s="1"/>
  <c r="H10" i="4"/>
  <c r="D7" i="17" s="1"/>
  <c r="H9" i="4"/>
  <c r="D6" i="17" s="1"/>
  <c r="H8" i="4"/>
  <c r="D5" i="17" s="1"/>
  <c r="H7" i="4"/>
  <c r="D4" i="17" s="1"/>
  <c r="H6" i="4"/>
  <c r="D3" i="17" s="1"/>
  <c r="I2" i="12"/>
  <c r="H2" i="12"/>
  <c r="G2" i="12"/>
  <c r="F2" i="12"/>
  <c r="E2" i="12"/>
  <c r="D2" i="12"/>
  <c r="C2" i="12"/>
  <c r="B17" i="11"/>
  <c r="B11" i="11"/>
  <c r="H2" i="11"/>
  <c r="G2" i="11"/>
  <c r="F2" i="11"/>
  <c r="E2" i="11"/>
  <c r="D2" i="11"/>
  <c r="C2" i="11"/>
  <c r="E8" i="9"/>
  <c r="C5" i="9"/>
  <c r="C4" i="9"/>
  <c r="E3" i="9"/>
  <c r="G9" i="8"/>
  <c r="F9" i="8"/>
  <c r="E9" i="8"/>
  <c r="D9" i="8"/>
  <c r="H2" i="8"/>
  <c r="G2" i="8"/>
  <c r="F2" i="8"/>
  <c r="E2" i="8"/>
  <c r="D2" i="8"/>
  <c r="C2" i="8"/>
  <c r="C2" i="7"/>
  <c r="R141" i="4"/>
  <c r="Q141" i="4"/>
  <c r="P141" i="4"/>
  <c r="L22" i="25" s="1"/>
  <c r="O141" i="4"/>
  <c r="K22" i="25" s="1"/>
  <c r="N141" i="4"/>
  <c r="J22" i="25" s="1"/>
  <c r="M141" i="4"/>
  <c r="I22" i="25" s="1"/>
  <c r="L141" i="4"/>
  <c r="H22" i="25" s="1"/>
  <c r="K141" i="4"/>
  <c r="G22" i="25" s="1"/>
  <c r="J141" i="4"/>
  <c r="F22" i="25" s="1"/>
  <c r="I141" i="4"/>
  <c r="E22" i="25" s="1"/>
  <c r="H141" i="4"/>
  <c r="D22" i="25" s="1"/>
  <c r="R95" i="4"/>
  <c r="Q95" i="4"/>
  <c r="P95" i="4"/>
  <c r="L6" i="24" s="1"/>
  <c r="O95" i="4"/>
  <c r="K6" i="24" s="1"/>
  <c r="N95" i="4"/>
  <c r="J6" i="24" s="1"/>
  <c r="M95" i="4"/>
  <c r="I6" i="24" s="1"/>
  <c r="L95" i="4"/>
  <c r="H6" i="24" s="1"/>
  <c r="K95" i="4"/>
  <c r="G6" i="24" s="1"/>
  <c r="J95" i="4"/>
  <c r="F6" i="24" s="1"/>
  <c r="I95" i="4"/>
  <c r="E6" i="24" s="1"/>
  <c r="H95" i="4"/>
  <c r="D6" i="24" s="1"/>
  <c r="R105" i="4"/>
  <c r="Q105" i="4"/>
  <c r="P105" i="4"/>
  <c r="L16" i="24" s="1"/>
  <c r="O105" i="4"/>
  <c r="K16" i="24" s="1"/>
  <c r="N105" i="4"/>
  <c r="J16" i="24" s="1"/>
  <c r="M105" i="4"/>
  <c r="I16" i="24" s="1"/>
  <c r="L105" i="4"/>
  <c r="H16" i="24" s="1"/>
  <c r="K105" i="4"/>
  <c r="G16" i="24" s="1"/>
  <c r="J105" i="4"/>
  <c r="F16" i="24" s="1"/>
  <c r="I105" i="4"/>
  <c r="E16" i="24" s="1"/>
  <c r="H105" i="4"/>
  <c r="D16" i="24" s="1"/>
  <c r="R115" i="4"/>
  <c r="Q115" i="4"/>
  <c r="P115" i="4"/>
  <c r="O115" i="4"/>
  <c r="N115" i="4"/>
  <c r="M115" i="4"/>
  <c r="L115" i="4"/>
  <c r="K115" i="4"/>
  <c r="J115" i="4"/>
  <c r="I115" i="4"/>
  <c r="H115" i="4"/>
  <c r="G27" i="4"/>
  <c r="D6" i="29"/>
  <c r="I27" i="4"/>
  <c r="H27" i="4"/>
  <c r="F27" i="4"/>
  <c r="E99" i="5"/>
  <c r="C7" i="31" s="1"/>
  <c r="Q72" i="5"/>
  <c r="P72" i="5"/>
  <c r="O72" i="5"/>
  <c r="M12" i="35" s="1"/>
  <c r="M72" i="5"/>
  <c r="G72" i="5"/>
  <c r="E12" i="35" s="1"/>
  <c r="F72" i="5"/>
  <c r="D12" i="35" s="1"/>
  <c r="N72" i="5"/>
  <c r="L12" i="35" s="1"/>
  <c r="M69" i="5"/>
  <c r="K9" i="35" s="1"/>
  <c r="N69" i="5"/>
  <c r="L9" i="35" s="1"/>
  <c r="O69" i="5"/>
  <c r="M9" i="35" s="1"/>
  <c r="P69" i="5"/>
  <c r="Q69" i="5"/>
  <c r="F70" i="5"/>
  <c r="D10" i="35" s="1"/>
  <c r="G70" i="5"/>
  <c r="E10" i="35" s="1"/>
  <c r="H70" i="5"/>
  <c r="F10" i="35" s="1"/>
  <c r="I70" i="5"/>
  <c r="G10" i="35" s="1"/>
  <c r="J70" i="5"/>
  <c r="H10" i="35" s="1"/>
  <c r="K70" i="5"/>
  <c r="I10" i="35" s="1"/>
  <c r="L70" i="5"/>
  <c r="J10" i="35" s="1"/>
  <c r="F6" i="29"/>
  <c r="F43" i="5"/>
  <c r="D4" i="28" s="1"/>
  <c r="F42" i="5"/>
  <c r="Q14" i="5"/>
  <c r="Q20" i="5" s="1"/>
  <c r="Q88" i="5" s="1"/>
  <c r="P19" i="5"/>
  <c r="O19" i="5"/>
  <c r="N19" i="5"/>
  <c r="M19" i="5"/>
  <c r="L19" i="5"/>
  <c r="J10" i="27" s="1"/>
  <c r="K19" i="5"/>
  <c r="K64" i="5" s="1"/>
  <c r="I4" i="35" s="1"/>
  <c r="J19" i="5"/>
  <c r="I19" i="5"/>
  <c r="I25" i="5" s="1"/>
  <c r="H19" i="5"/>
  <c r="F10" i="27" s="1"/>
  <c r="G19" i="5"/>
  <c r="F19" i="5"/>
  <c r="F64" i="5" s="1"/>
  <c r="F66" i="5" s="1"/>
  <c r="D6" i="35" s="1"/>
  <c r="E19" i="5"/>
  <c r="E64" i="5" s="1"/>
  <c r="E68" i="5" s="1"/>
  <c r="E18" i="5"/>
  <c r="P21" i="5"/>
  <c r="O21" i="5"/>
  <c r="M12" i="27" s="1"/>
  <c r="N21" i="5"/>
  <c r="L12" i="27" s="1"/>
  <c r="M21" i="5"/>
  <c r="K12" i="27" s="1"/>
  <c r="L21" i="5"/>
  <c r="J12" i="27" s="1"/>
  <c r="K21" i="5"/>
  <c r="I12" i="27" s="1"/>
  <c r="J21" i="5"/>
  <c r="H12" i="27" s="1"/>
  <c r="I21" i="5"/>
  <c r="G12" i="27" s="1"/>
  <c r="H21" i="5"/>
  <c r="F12" i="27" s="1"/>
  <c r="G21" i="5"/>
  <c r="E12" i="27" s="1"/>
  <c r="F21" i="5"/>
  <c r="D12" i="27" s="1"/>
  <c r="E21" i="5"/>
  <c r="C12" i="27" s="1"/>
  <c r="P20" i="5"/>
  <c r="O20" i="5"/>
  <c r="N20" i="5"/>
  <c r="M20" i="5"/>
  <c r="L20" i="5"/>
  <c r="L88" i="5" s="1"/>
  <c r="J28" i="35" s="1"/>
  <c r="K20" i="5"/>
  <c r="J20" i="5"/>
  <c r="I20" i="5"/>
  <c r="G11" i="27" s="1"/>
  <c r="H20" i="5"/>
  <c r="H88" i="5" s="1"/>
  <c r="F28" i="35" s="1"/>
  <c r="G20" i="5"/>
  <c r="F20" i="5"/>
  <c r="F26" i="5" s="1"/>
  <c r="E20" i="5"/>
  <c r="P18" i="5"/>
  <c r="O18" i="5"/>
  <c r="N18" i="5"/>
  <c r="M18" i="5"/>
  <c r="K9" i="27" s="1"/>
  <c r="L18" i="5"/>
  <c r="J9" i="27" s="1"/>
  <c r="K18" i="5"/>
  <c r="J18" i="5"/>
  <c r="I18" i="5"/>
  <c r="G9" i="27" s="1"/>
  <c r="H18" i="5"/>
  <c r="G18" i="5"/>
  <c r="F18" i="5"/>
  <c r="Q15" i="5"/>
  <c r="Q13" i="5"/>
  <c r="Q19" i="5" s="1"/>
  <c r="Q25" i="5" s="1"/>
  <c r="Q12" i="5"/>
  <c r="Q18" i="5" s="1"/>
  <c r="E60" i="5"/>
  <c r="G41" i="4"/>
  <c r="G55" i="4" s="1"/>
  <c r="D3" i="37" s="1"/>
  <c r="G46" i="4"/>
  <c r="G45" i="4"/>
  <c r="O45" i="4"/>
  <c r="P45" i="4" s="1"/>
  <c r="L6" i="18" s="1"/>
  <c r="G44" i="4"/>
  <c r="N44" i="4"/>
  <c r="O44" i="4" s="1"/>
  <c r="G43" i="4"/>
  <c r="M43" i="4"/>
  <c r="G42" i="4"/>
  <c r="H42" i="4" s="1"/>
  <c r="I42" i="4" s="1"/>
  <c r="G123" i="4"/>
  <c r="C4" i="25" s="1"/>
  <c r="R122" i="4"/>
  <c r="Q122" i="4"/>
  <c r="P122" i="4"/>
  <c r="L3" i="25" s="1"/>
  <c r="O122" i="4"/>
  <c r="K3" i="25" s="1"/>
  <c r="N122" i="4"/>
  <c r="J3" i="25" s="1"/>
  <c r="M122" i="4"/>
  <c r="I3" i="25" s="1"/>
  <c r="L122" i="4"/>
  <c r="H3" i="25" s="1"/>
  <c r="K122" i="4"/>
  <c r="G3" i="25" s="1"/>
  <c r="J122" i="4"/>
  <c r="F3" i="25" s="1"/>
  <c r="I122" i="4"/>
  <c r="E3" i="25" s="1"/>
  <c r="H122" i="4"/>
  <c r="D3" i="25" s="1"/>
  <c r="I94" i="4"/>
  <c r="H94" i="4"/>
  <c r="D5" i="24" s="1"/>
  <c r="I104" i="4"/>
  <c r="H104" i="4"/>
  <c r="D15" i="24" s="1"/>
  <c r="R112" i="4"/>
  <c r="Q112" i="4"/>
  <c r="P112" i="4"/>
  <c r="L23" i="24" s="1"/>
  <c r="O112" i="4"/>
  <c r="K23" i="24" s="1"/>
  <c r="N112" i="4"/>
  <c r="J23" i="24" s="1"/>
  <c r="M112" i="4"/>
  <c r="I23" i="24" s="1"/>
  <c r="G6" i="3"/>
  <c r="H48" i="3" s="1"/>
  <c r="I48" i="3" s="1"/>
  <c r="I47" i="3" s="1"/>
  <c r="E3" i="8" s="1"/>
  <c r="L52" i="3"/>
  <c r="H9" i="8" s="1"/>
  <c r="G51" i="3"/>
  <c r="C8" i="8" s="1"/>
  <c r="H15" i="8"/>
  <c r="G15" i="8"/>
  <c r="E15" i="8"/>
  <c r="D15" i="8"/>
  <c r="H32" i="3"/>
  <c r="D9" i="16" s="1"/>
  <c r="G47" i="3"/>
  <c r="C3" i="8" s="1"/>
  <c r="G7" i="3"/>
  <c r="C4" i="7" s="1"/>
  <c r="H33" i="3"/>
  <c r="D10" i="16" s="1"/>
  <c r="I38" i="3"/>
  <c r="E4" i="9" s="1"/>
  <c r="D3" i="21"/>
  <c r="D5" i="29"/>
  <c r="K10" i="27"/>
  <c r="J11" i="27"/>
  <c r="J26" i="5"/>
  <c r="L26" i="5"/>
  <c r="O26" i="5"/>
  <c r="N26" i="5"/>
  <c r="J111" i="5"/>
  <c r="G73" i="5"/>
  <c r="E13" i="35" s="1"/>
  <c r="C6" i="29"/>
  <c r="H55" i="4"/>
  <c r="E3" i="37" s="1"/>
  <c r="J55" i="4"/>
  <c r="G3" i="37" s="1"/>
  <c r="L55" i="4"/>
  <c r="I3" i="37" s="1"/>
  <c r="N55" i="4"/>
  <c r="K3" i="37" s="1"/>
  <c r="P55" i="4"/>
  <c r="M3" i="37" s="1"/>
  <c r="R55" i="4"/>
  <c r="O3" i="37" s="1"/>
  <c r="I55" i="4"/>
  <c r="F3" i="37" s="1"/>
  <c r="K55" i="4"/>
  <c r="H3" i="37" s="1"/>
  <c r="M55" i="4"/>
  <c r="J3" i="37" s="1"/>
  <c r="O55" i="4"/>
  <c r="L3" i="37" s="1"/>
  <c r="Q55" i="4"/>
  <c r="N3" i="37" s="1"/>
  <c r="F99" i="4"/>
  <c r="F97" i="4"/>
  <c r="G92" i="4" s="1"/>
  <c r="C3" i="24" s="1"/>
  <c r="F109" i="4"/>
  <c r="F107" i="4"/>
  <c r="G102" i="4" s="1"/>
  <c r="C13" i="24" s="1"/>
  <c r="F12" i="4"/>
  <c r="C9" i="17" s="1"/>
  <c r="G11" i="4"/>
  <c r="C8" i="20" s="1"/>
  <c r="K66" i="5"/>
  <c r="I6" i="35" s="1"/>
  <c r="G60" i="4"/>
  <c r="D8" i="37" s="1"/>
  <c r="Q46" i="4"/>
  <c r="R46" i="4" s="1"/>
  <c r="K42" i="4"/>
  <c r="G3" i="18" s="1"/>
  <c r="F73" i="4"/>
  <c r="F122" i="4"/>
  <c r="F76" i="4"/>
  <c r="F74" i="4"/>
  <c r="F133" i="4"/>
  <c r="F124" i="4"/>
  <c r="F134" i="4" s="1"/>
  <c r="F123" i="4"/>
  <c r="F117" i="4"/>
  <c r="G112" i="4" s="1"/>
  <c r="F132" i="4"/>
  <c r="F119" i="4"/>
  <c r="F77" i="5"/>
  <c r="D17" i="35" s="1"/>
  <c r="H114" i="4"/>
  <c r="I114" i="4"/>
  <c r="I132" i="4" s="1"/>
  <c r="E13" i="25" s="1"/>
  <c r="B5" i="9" l="1"/>
  <c r="B6" i="9"/>
  <c r="C24" i="37"/>
  <c r="G64" i="4"/>
  <c r="D12" i="37" s="1"/>
  <c r="B9" i="37"/>
  <c r="B23" i="37"/>
  <c r="B13" i="37"/>
  <c r="B28" i="37"/>
  <c r="F11" i="27"/>
  <c r="B7" i="20"/>
  <c r="E105" i="5"/>
  <c r="B15" i="37"/>
  <c r="F61" i="4"/>
  <c r="C9" i="37" s="1"/>
  <c r="C3" i="37"/>
  <c r="F75" i="4"/>
  <c r="C23" i="37" s="1"/>
  <c r="C22" i="37"/>
  <c r="B27" i="37"/>
  <c r="C21" i="37"/>
  <c r="E98" i="5"/>
  <c r="C6" i="31" s="1"/>
  <c r="E3" i="21"/>
  <c r="E148" i="4"/>
  <c r="B3" i="26" s="1"/>
  <c r="B18" i="37"/>
  <c r="B25" i="37"/>
  <c r="G63" i="4"/>
  <c r="D11" i="37" s="1"/>
  <c r="I64" i="5"/>
  <c r="L22" i="5"/>
  <c r="L95" i="5" s="1"/>
  <c r="J3" i="31" s="1"/>
  <c r="N73" i="5"/>
  <c r="L13" i="35" s="1"/>
  <c r="E149" i="4"/>
  <c r="B4" i="26" s="1"/>
  <c r="B21" i="37"/>
  <c r="B11" i="37"/>
  <c r="B12" i="37"/>
  <c r="B22" i="37"/>
  <c r="F79" i="4"/>
  <c r="B6" i="8"/>
  <c r="H49" i="3"/>
  <c r="I49" i="3" s="1"/>
  <c r="I50" i="3" s="1"/>
  <c r="H47" i="3"/>
  <c r="H53" i="3" s="1"/>
  <c r="D10" i="8" s="1"/>
  <c r="I43" i="3"/>
  <c r="D5" i="8"/>
  <c r="C3" i="7"/>
  <c r="N109" i="5"/>
  <c r="G62" i="4"/>
  <c r="G66" i="4"/>
  <c r="D14" i="37" s="1"/>
  <c r="R133" i="4"/>
  <c r="E2" i="17"/>
  <c r="B4" i="17"/>
  <c r="B6" i="17"/>
  <c r="B8" i="17"/>
  <c r="P73" i="5"/>
  <c r="Q64" i="5"/>
  <c r="Q66" i="5" s="1"/>
  <c r="H26" i="5"/>
  <c r="D4" i="29"/>
  <c r="F140" i="4"/>
  <c r="G56" i="4"/>
  <c r="D4" i="37" s="1"/>
  <c r="H11" i="4"/>
  <c r="H38" i="4" s="1"/>
  <c r="G49" i="4"/>
  <c r="C5" i="18" s="1"/>
  <c r="J48" i="3"/>
  <c r="J47" i="3" s="1"/>
  <c r="F3" i="8" s="1"/>
  <c r="E5" i="8"/>
  <c r="I22" i="4"/>
  <c r="I29" i="4" s="1"/>
  <c r="F7" i="21" s="1"/>
  <c r="L42" i="4"/>
  <c r="H3" i="18" s="1"/>
  <c r="H17" i="4"/>
  <c r="E5" i="19" s="1"/>
  <c r="F135" i="4"/>
  <c r="F150" i="4" s="1"/>
  <c r="C5" i="26" s="1"/>
  <c r="G17" i="4"/>
  <c r="D5" i="19" s="1"/>
  <c r="I7" i="4"/>
  <c r="D4" i="20" s="1"/>
  <c r="F17" i="4"/>
  <c r="I10" i="4"/>
  <c r="D7" i="20" s="1"/>
  <c r="G48" i="4"/>
  <c r="G37" i="4"/>
  <c r="I9" i="4"/>
  <c r="D6" i="20" s="1"/>
  <c r="I6" i="4"/>
  <c r="F52" i="4"/>
  <c r="F125" i="4" s="1"/>
  <c r="E8" i="17"/>
  <c r="I8" i="4"/>
  <c r="D5" i="20" s="1"/>
  <c r="H62" i="4"/>
  <c r="E10" i="37" s="1"/>
  <c r="J5" i="18"/>
  <c r="G50" i="4"/>
  <c r="C6" i="18" s="1"/>
  <c r="S55" i="4"/>
  <c r="Q133" i="4"/>
  <c r="F63" i="5"/>
  <c r="D3" i="35" s="1"/>
  <c r="C8" i="35"/>
  <c r="D25" i="24"/>
  <c r="E15" i="24"/>
  <c r="E5" i="24"/>
  <c r="E88" i="5"/>
  <c r="C28" i="35" s="1"/>
  <c r="C11" i="27"/>
  <c r="E26" i="5"/>
  <c r="J88" i="5"/>
  <c r="H28" i="35" s="1"/>
  <c r="H11" i="27"/>
  <c r="M88" i="5"/>
  <c r="K28" i="35" s="1"/>
  <c r="K11" i="27"/>
  <c r="K12" i="35"/>
  <c r="M73" i="5"/>
  <c r="K13" i="35" s="1"/>
  <c r="D6" i="21"/>
  <c r="D5" i="21"/>
  <c r="E26" i="24"/>
  <c r="I133" i="4"/>
  <c r="E14" i="25" s="1"/>
  <c r="G26" i="24"/>
  <c r="K133" i="4"/>
  <c r="G14" i="25" s="1"/>
  <c r="I26" i="24"/>
  <c r="M133" i="4"/>
  <c r="I14" i="25" s="1"/>
  <c r="K26" i="24"/>
  <c r="O133" i="4"/>
  <c r="K14" i="25" s="1"/>
  <c r="E74" i="5"/>
  <c r="C4" i="35"/>
  <c r="H46" i="4"/>
  <c r="G51" i="4"/>
  <c r="D9" i="27"/>
  <c r="F22" i="5"/>
  <c r="F9" i="27"/>
  <c r="H22" i="5"/>
  <c r="F88" i="5"/>
  <c r="D28" i="35" s="1"/>
  <c r="D11" i="27"/>
  <c r="I88" i="5"/>
  <c r="G28" i="35" s="1"/>
  <c r="I26" i="5"/>
  <c r="I27" i="5" s="1"/>
  <c r="I31" i="5" s="1"/>
  <c r="N88" i="5"/>
  <c r="L28" i="35" s="1"/>
  <c r="L11" i="27"/>
  <c r="I109" i="5"/>
  <c r="C10" i="27"/>
  <c r="F109" i="5"/>
  <c r="E22" i="5"/>
  <c r="M25" i="5"/>
  <c r="M111" i="5"/>
  <c r="C6" i="21"/>
  <c r="C5" i="21"/>
  <c r="D26" i="24"/>
  <c r="H133" i="4"/>
  <c r="D14" i="25" s="1"/>
  <c r="F26" i="24"/>
  <c r="J133" i="4"/>
  <c r="F14" i="25" s="1"/>
  <c r="H26" i="24"/>
  <c r="L133" i="4"/>
  <c r="H14" i="25" s="1"/>
  <c r="J26" i="24"/>
  <c r="N133" i="4"/>
  <c r="J14" i="25" s="1"/>
  <c r="L26" i="24"/>
  <c r="P133" i="4"/>
  <c r="L14" i="25" s="1"/>
  <c r="E25" i="24"/>
  <c r="H132" i="4"/>
  <c r="D13" i="25" s="1"/>
  <c r="F126" i="4"/>
  <c r="I53" i="3"/>
  <c r="E10" i="8" s="1"/>
  <c r="G58" i="4"/>
  <c r="D6" i="37" s="1"/>
  <c r="I21" i="4"/>
  <c r="F9" i="19" s="1"/>
  <c r="G59" i="4"/>
  <c r="D7" i="37" s="1"/>
  <c r="M22" i="5"/>
  <c r="F73" i="5"/>
  <c r="D13" i="35" s="1"/>
  <c r="M26" i="5"/>
  <c r="P22" i="5"/>
  <c r="P95" i="5" s="1"/>
  <c r="F111" i="5"/>
  <c r="N111" i="5"/>
  <c r="N113" i="5" s="1"/>
  <c r="Q132" i="4"/>
  <c r="Q111" i="5"/>
  <c r="H45" i="5"/>
  <c r="F6" i="28" s="1"/>
  <c r="Q73" i="5"/>
  <c r="R132" i="4"/>
  <c r="D4" i="35"/>
  <c r="F67" i="5"/>
  <c r="D7" i="35" s="1"/>
  <c r="C23" i="24"/>
  <c r="H45" i="4"/>
  <c r="G65" i="4"/>
  <c r="D13" i="37" s="1"/>
  <c r="H9" i="27"/>
  <c r="J22" i="5"/>
  <c r="L9" i="27"/>
  <c r="N22" i="5"/>
  <c r="G88" i="5"/>
  <c r="E28" i="35" s="1"/>
  <c r="E11" i="27"/>
  <c r="R20" i="5"/>
  <c r="G26" i="5"/>
  <c r="K88" i="5"/>
  <c r="I28" i="35" s="1"/>
  <c r="I11" i="27"/>
  <c r="K26" i="5"/>
  <c r="O88" i="5"/>
  <c r="M28" i="35" s="1"/>
  <c r="M11" i="27"/>
  <c r="C9" i="27"/>
  <c r="R18" i="5"/>
  <c r="N9" i="27" s="1"/>
  <c r="F25" i="5"/>
  <c r="F27" i="5" s="1"/>
  <c r="D10" i="27"/>
  <c r="H25" i="5"/>
  <c r="H27" i="5" s="1"/>
  <c r="H111" i="5"/>
  <c r="H64" i="5"/>
  <c r="F4" i="35" s="1"/>
  <c r="J25" i="5"/>
  <c r="J27" i="5" s="1"/>
  <c r="H10" i="27"/>
  <c r="J64" i="5"/>
  <c r="H4" i="35" s="1"/>
  <c r="L25" i="5"/>
  <c r="L27" i="5" s="1"/>
  <c r="L111" i="5"/>
  <c r="L64" i="5"/>
  <c r="J4" i="35" s="1"/>
  <c r="N25" i="5"/>
  <c r="N27" i="5" s="1"/>
  <c r="L10" i="27"/>
  <c r="N64" i="5"/>
  <c r="L4" i="35" s="1"/>
  <c r="P25" i="5"/>
  <c r="P111" i="5"/>
  <c r="P64" i="5"/>
  <c r="D3" i="28"/>
  <c r="F45" i="5"/>
  <c r="O73" i="5"/>
  <c r="M13" i="35" s="1"/>
  <c r="F5" i="21"/>
  <c r="G25" i="24"/>
  <c r="K132" i="4"/>
  <c r="G13" i="25" s="1"/>
  <c r="I25" i="24"/>
  <c r="M132" i="4"/>
  <c r="I13" i="25" s="1"/>
  <c r="K25" i="24"/>
  <c r="O132" i="4"/>
  <c r="K13" i="25" s="1"/>
  <c r="F101" i="5"/>
  <c r="C14" i="31"/>
  <c r="M42" i="4"/>
  <c r="F65" i="5"/>
  <c r="D5" i="35" s="1"/>
  <c r="J13" i="27"/>
  <c r="G53" i="3"/>
  <c r="I22" i="5"/>
  <c r="M64" i="5"/>
  <c r="K4" i="35" s="1"/>
  <c r="O64" i="5"/>
  <c r="M4" i="35" s="1"/>
  <c r="G64" i="5"/>
  <c r="E4" i="35" s="1"/>
  <c r="J109" i="5"/>
  <c r="M109" i="5"/>
  <c r="I111" i="5"/>
  <c r="K6" i="18"/>
  <c r="G10" i="27"/>
  <c r="Q45" i="4"/>
  <c r="R45" i="4" s="1"/>
  <c r="G47" i="4"/>
  <c r="N43" i="4"/>
  <c r="I4" i="18"/>
  <c r="H43" i="4"/>
  <c r="C4" i="18"/>
  <c r="G57" i="4"/>
  <c r="D5" i="37" s="1"/>
  <c r="P44" i="4"/>
  <c r="K5" i="18"/>
  <c r="H44" i="4"/>
  <c r="Q21" i="5"/>
  <c r="R21" i="5" s="1"/>
  <c r="N12" i="27" s="1"/>
  <c r="Q102" i="5"/>
  <c r="E9" i="27"/>
  <c r="G22" i="5"/>
  <c r="I9" i="27"/>
  <c r="K22" i="5"/>
  <c r="M9" i="27"/>
  <c r="O22" i="5"/>
  <c r="P88" i="5"/>
  <c r="P26" i="5"/>
  <c r="E25" i="5"/>
  <c r="R19" i="5"/>
  <c r="N10" i="27" s="1"/>
  <c r="G109" i="5"/>
  <c r="K109" i="5"/>
  <c r="O109" i="5"/>
  <c r="Q109" i="5"/>
  <c r="H109" i="5"/>
  <c r="L109" i="5"/>
  <c r="P109" i="5"/>
  <c r="G25" i="5"/>
  <c r="E10" i="27"/>
  <c r="G111" i="5"/>
  <c r="K25" i="5"/>
  <c r="I10" i="27"/>
  <c r="K111" i="5"/>
  <c r="O25" i="5"/>
  <c r="O27" i="5" s="1"/>
  <c r="M10" i="27"/>
  <c r="O111" i="5"/>
  <c r="E5" i="21"/>
  <c r="F25" i="24"/>
  <c r="J132" i="4"/>
  <c r="F13" i="25" s="1"/>
  <c r="H25" i="24"/>
  <c r="L132" i="4"/>
  <c r="H13" i="25" s="1"/>
  <c r="J25" i="24"/>
  <c r="N132" i="4"/>
  <c r="J13" i="25" s="1"/>
  <c r="L25" i="24"/>
  <c r="P132" i="4"/>
  <c r="L13" i="25" s="1"/>
  <c r="F67" i="4"/>
  <c r="C15" i="37" s="1"/>
  <c r="N115" i="5"/>
  <c r="K4" i="32" s="1"/>
  <c r="Q22" i="5"/>
  <c r="G49" i="5"/>
  <c r="F10" i="19" l="1"/>
  <c r="E6" i="8"/>
  <c r="G4" i="35"/>
  <c r="I66" i="5"/>
  <c r="G6" i="35" s="1"/>
  <c r="G27" i="5"/>
  <c r="D10" i="37"/>
  <c r="F115" i="5"/>
  <c r="D8" i="17"/>
  <c r="C27" i="37"/>
  <c r="F77" i="4"/>
  <c r="C25" i="37" s="1"/>
  <c r="I115" i="5"/>
  <c r="F4" i="32" s="1"/>
  <c r="F142" i="4"/>
  <c r="J49" i="3"/>
  <c r="J50" i="3" s="1"/>
  <c r="F7" i="8" s="1"/>
  <c r="D6" i="8"/>
  <c r="C5" i="7"/>
  <c r="D3" i="8"/>
  <c r="H50" i="3"/>
  <c r="J53" i="3"/>
  <c r="K48" i="3"/>
  <c r="I44" i="3"/>
  <c r="F5" i="8"/>
  <c r="K27" i="5"/>
  <c r="E27" i="5"/>
  <c r="M27" i="5"/>
  <c r="F68" i="5"/>
  <c r="D8" i="35" s="1"/>
  <c r="F113" i="5"/>
  <c r="F22" i="4"/>
  <c r="C5" i="19"/>
  <c r="I62" i="4"/>
  <c r="F10" i="37" s="1"/>
  <c r="D3" i="20"/>
  <c r="I11" i="4"/>
  <c r="D8" i="20" s="1"/>
  <c r="M95" i="5"/>
  <c r="K3" i="31" s="1"/>
  <c r="K13" i="27"/>
  <c r="I46" i="4"/>
  <c r="J46" i="4" s="1"/>
  <c r="C14" i="35"/>
  <c r="E97" i="5"/>
  <c r="C5" i="31" s="1"/>
  <c r="I54" i="3"/>
  <c r="I62" i="3" s="1"/>
  <c r="E7" i="8"/>
  <c r="C13" i="27"/>
  <c r="E95" i="5"/>
  <c r="C3" i="31" s="1"/>
  <c r="I33" i="5"/>
  <c r="G14" i="27"/>
  <c r="I30" i="5"/>
  <c r="G15" i="27" s="1"/>
  <c r="F13" i="27"/>
  <c r="H95" i="5"/>
  <c r="F3" i="31" s="1"/>
  <c r="F95" i="5"/>
  <c r="D3" i="31" s="1"/>
  <c r="D13" i="27"/>
  <c r="C7" i="18"/>
  <c r="H60" i="4"/>
  <c r="E8" i="37" s="1"/>
  <c r="H51" i="4"/>
  <c r="H66" i="4"/>
  <c r="E14" i="37" s="1"/>
  <c r="G50" i="5"/>
  <c r="E4" i="29"/>
  <c r="Q95" i="5"/>
  <c r="O31" i="5"/>
  <c r="M14" i="27"/>
  <c r="G33" i="5"/>
  <c r="G31" i="5"/>
  <c r="E14" i="27"/>
  <c r="G30" i="5"/>
  <c r="E15" i="27" s="1"/>
  <c r="L113" i="5"/>
  <c r="L115" i="5"/>
  <c r="I4" i="32" s="1"/>
  <c r="Q113" i="5"/>
  <c r="Q115" i="5"/>
  <c r="K115" i="5"/>
  <c r="H4" i="32" s="1"/>
  <c r="K113" i="5"/>
  <c r="O95" i="5"/>
  <c r="M3" i="31" s="1"/>
  <c r="M13" i="27"/>
  <c r="K95" i="5"/>
  <c r="I3" i="31" s="1"/>
  <c r="I13" i="27"/>
  <c r="R22" i="5"/>
  <c r="N13" i="27" s="1"/>
  <c r="S22" i="5"/>
  <c r="T22" i="5" s="1"/>
  <c r="G95" i="5"/>
  <c r="E13" i="27"/>
  <c r="G61" i="4"/>
  <c r="D9" i="37" s="1"/>
  <c r="H57" i="4"/>
  <c r="E5" i="37" s="1"/>
  <c r="H48" i="4"/>
  <c r="D4" i="18" s="1"/>
  <c r="I43" i="4"/>
  <c r="J4" i="18"/>
  <c r="O43" i="4"/>
  <c r="J113" i="5"/>
  <c r="J115" i="5"/>
  <c r="G4" i="32" s="1"/>
  <c r="O66" i="5"/>
  <c r="M6" i="35" s="1"/>
  <c r="I95" i="5"/>
  <c r="G3" i="31" s="1"/>
  <c r="G13" i="27"/>
  <c r="F6" i="21"/>
  <c r="D6" i="28"/>
  <c r="P66" i="5"/>
  <c r="L66" i="5"/>
  <c r="J6" i="35" s="1"/>
  <c r="L31" i="5"/>
  <c r="L30" i="5"/>
  <c r="J15" i="27" s="1"/>
  <c r="J14" i="27"/>
  <c r="L33" i="5"/>
  <c r="H66" i="5"/>
  <c r="F6" i="35" s="1"/>
  <c r="H31" i="5"/>
  <c r="H30" i="5"/>
  <c r="F15" i="27" s="1"/>
  <c r="F14" i="27"/>
  <c r="H33" i="5"/>
  <c r="F31" i="5"/>
  <c r="F30" i="5"/>
  <c r="D15" i="27" s="1"/>
  <c r="D14" i="27"/>
  <c r="F33" i="5"/>
  <c r="N95" i="5"/>
  <c r="L3" i="31" s="1"/>
  <c r="L13" i="27"/>
  <c r="J95" i="5"/>
  <c r="H3" i="31" s="1"/>
  <c r="H13" i="27"/>
  <c r="H65" i="4"/>
  <c r="E13" i="37" s="1"/>
  <c r="I45" i="4"/>
  <c r="H50" i="4"/>
  <c r="D6" i="18" s="1"/>
  <c r="H59" i="4"/>
  <c r="E7" i="37" s="1"/>
  <c r="P27" i="5"/>
  <c r="I113" i="5"/>
  <c r="G129" i="4"/>
  <c r="H63" i="4"/>
  <c r="E11" i="37" s="1"/>
  <c r="F80" i="4"/>
  <c r="C28" i="37" s="1"/>
  <c r="F148" i="4"/>
  <c r="M118" i="4"/>
  <c r="O118" i="4"/>
  <c r="Q118" i="4"/>
  <c r="L118" i="4"/>
  <c r="P118" i="4"/>
  <c r="R118" i="4"/>
  <c r="E6" i="21"/>
  <c r="N118" i="4"/>
  <c r="K33" i="5"/>
  <c r="K31" i="5"/>
  <c r="I14" i="27"/>
  <c r="K30" i="5"/>
  <c r="I15" i="27" s="1"/>
  <c r="P113" i="5"/>
  <c r="P115" i="5"/>
  <c r="H115" i="5"/>
  <c r="E4" i="32" s="1"/>
  <c r="H113" i="5"/>
  <c r="O115" i="5"/>
  <c r="O113" i="5"/>
  <c r="G115" i="5"/>
  <c r="D4" i="32" s="1"/>
  <c r="G113" i="5"/>
  <c r="C14" i="27"/>
  <c r="E31" i="5"/>
  <c r="E30" i="5"/>
  <c r="E38" i="5" s="1"/>
  <c r="E33" i="5"/>
  <c r="H49" i="4"/>
  <c r="I44" i="4"/>
  <c r="D5" i="18"/>
  <c r="H58" i="4"/>
  <c r="E6" i="37" s="1"/>
  <c r="L5" i="18"/>
  <c r="Q44" i="4"/>
  <c r="H47" i="4"/>
  <c r="G52" i="4"/>
  <c r="C3" i="18"/>
  <c r="H56" i="4"/>
  <c r="E4" i="37" s="1"/>
  <c r="M115" i="5"/>
  <c r="J4" i="32" s="1"/>
  <c r="M113" i="5"/>
  <c r="G66" i="5"/>
  <c r="E6" i="35" s="1"/>
  <c r="R64" i="5"/>
  <c r="N4" i="35" s="1"/>
  <c r="M66" i="5"/>
  <c r="K6" i="35" s="1"/>
  <c r="G70" i="3"/>
  <c r="C8" i="11" s="1"/>
  <c r="C10" i="8"/>
  <c r="G54" i="3"/>
  <c r="G65" i="5"/>
  <c r="E5" i="35" s="1"/>
  <c r="I3" i="18"/>
  <c r="N42" i="4"/>
  <c r="D10" i="31"/>
  <c r="F103" i="5"/>
  <c r="N66" i="5"/>
  <c r="L6" i="35" s="1"/>
  <c r="L14" i="27"/>
  <c r="N31" i="5"/>
  <c r="J66" i="5"/>
  <c r="H6" i="35" s="1"/>
  <c r="H14" i="27"/>
  <c r="J33" i="5"/>
  <c r="J31" i="5"/>
  <c r="J30" i="5"/>
  <c r="H15" i="27" s="1"/>
  <c r="J43" i="5"/>
  <c r="N11" i="27"/>
  <c r="R88" i="5"/>
  <c r="N28" i="35" s="1"/>
  <c r="C4" i="32"/>
  <c r="F10" i="8"/>
  <c r="G72" i="4"/>
  <c r="D20" i="37" s="1"/>
  <c r="F69" i="5"/>
  <c r="Q26" i="5"/>
  <c r="Q27" i="5" s="1"/>
  <c r="H64" i="4"/>
  <c r="E12" i="37" s="1"/>
  <c r="F6" i="8" l="1"/>
  <c r="R115" i="5"/>
  <c r="G63" i="5"/>
  <c r="E3" i="35" s="1"/>
  <c r="F108" i="5"/>
  <c r="F116" i="5" s="1"/>
  <c r="F145" i="4"/>
  <c r="F151" i="4" s="1"/>
  <c r="C6" i="26" s="1"/>
  <c r="F143" i="4"/>
  <c r="G138" i="4" s="1"/>
  <c r="H39" i="3"/>
  <c r="D7" i="8"/>
  <c r="K49" i="3"/>
  <c r="K50" i="3" s="1"/>
  <c r="H54" i="3"/>
  <c r="H62" i="3" s="1"/>
  <c r="J54" i="3"/>
  <c r="D14" i="8"/>
  <c r="K47" i="3"/>
  <c r="L48" i="3"/>
  <c r="G5" i="8"/>
  <c r="G81" i="3"/>
  <c r="E10" i="9"/>
  <c r="K38" i="5"/>
  <c r="K14" i="27"/>
  <c r="M31" i="5"/>
  <c r="I38" i="5"/>
  <c r="I39" i="5" s="1"/>
  <c r="H65" i="5"/>
  <c r="F5" i="35" s="1"/>
  <c r="F29" i="4"/>
  <c r="C7" i="21" s="1"/>
  <c r="G20" i="4"/>
  <c r="G93" i="4"/>
  <c r="C10" i="19"/>
  <c r="J62" i="4"/>
  <c r="G10" i="37" s="1"/>
  <c r="I66" i="4"/>
  <c r="F14" i="37" s="1"/>
  <c r="I51" i="4"/>
  <c r="I60" i="4"/>
  <c r="F8" i="37" s="1"/>
  <c r="K46" i="4"/>
  <c r="G38" i="5"/>
  <c r="G39" i="5" s="1"/>
  <c r="G96" i="5" s="1"/>
  <c r="F71" i="5"/>
  <c r="D11" i="35" s="1"/>
  <c r="D9" i="35"/>
  <c r="I81" i="5"/>
  <c r="G21" i="35" s="1"/>
  <c r="G17" i="27"/>
  <c r="E11" i="8"/>
  <c r="I92" i="3"/>
  <c r="E3" i="12" s="1"/>
  <c r="E14" i="8"/>
  <c r="H38" i="5"/>
  <c r="H81" i="5" s="1"/>
  <c r="F21" i="35" s="1"/>
  <c r="L38" i="5"/>
  <c r="L81" i="5" s="1"/>
  <c r="J21" i="35" s="1"/>
  <c r="D7" i="18"/>
  <c r="I64" i="4"/>
  <c r="F12" i="37" s="1"/>
  <c r="C3" i="32"/>
  <c r="F110" i="5"/>
  <c r="D12" i="31"/>
  <c r="J3" i="18"/>
  <c r="O42" i="4"/>
  <c r="I47" i="4"/>
  <c r="I56" i="4"/>
  <c r="F4" i="37" s="1"/>
  <c r="D3" i="18"/>
  <c r="H52" i="4"/>
  <c r="I49" i="4"/>
  <c r="I58" i="4"/>
  <c r="F6" i="37" s="1"/>
  <c r="C17" i="27"/>
  <c r="E39" i="5"/>
  <c r="C15" i="27"/>
  <c r="J29" i="24"/>
  <c r="H29" i="24"/>
  <c r="K29" i="24"/>
  <c r="C3" i="26"/>
  <c r="F149" i="4"/>
  <c r="I63" i="4"/>
  <c r="F11" i="37" s="1"/>
  <c r="H129" i="4"/>
  <c r="D10" i="25" s="1"/>
  <c r="I50" i="4"/>
  <c r="E6" i="18" s="1"/>
  <c r="I59" i="4"/>
  <c r="F7" i="37" s="1"/>
  <c r="J45" i="4"/>
  <c r="I96" i="5"/>
  <c r="G18" i="27"/>
  <c r="P43" i="4"/>
  <c r="K4" i="18"/>
  <c r="I48" i="4"/>
  <c r="E4" i="18" s="1"/>
  <c r="I57" i="4"/>
  <c r="F5" i="37" s="1"/>
  <c r="E18" i="27"/>
  <c r="E3" i="31"/>
  <c r="R95" i="5"/>
  <c r="N3" i="31" s="1"/>
  <c r="S95" i="5"/>
  <c r="T95" i="5" s="1"/>
  <c r="O3" i="31" s="1"/>
  <c r="E5" i="29"/>
  <c r="J38" i="5"/>
  <c r="F38" i="5"/>
  <c r="Q31" i="5"/>
  <c r="Q30" i="5"/>
  <c r="Q33" i="5"/>
  <c r="F11" i="8"/>
  <c r="J92" i="3"/>
  <c r="F3" i="12" s="1"/>
  <c r="J45" i="5"/>
  <c r="H4" i="28"/>
  <c r="C11" i="8"/>
  <c r="G57" i="3"/>
  <c r="G92" i="3"/>
  <c r="R66" i="5"/>
  <c r="N6" i="35" s="1"/>
  <c r="H61" i="4"/>
  <c r="E9" i="37" s="1"/>
  <c r="G125" i="4"/>
  <c r="C8" i="18"/>
  <c r="R44" i="4"/>
  <c r="J44" i="4"/>
  <c r="E5" i="18"/>
  <c r="E32" i="5"/>
  <c r="E36" i="5" s="1"/>
  <c r="F29" i="5" s="1"/>
  <c r="F32" i="5" s="1"/>
  <c r="F34" i="5" s="1"/>
  <c r="F36" i="5" s="1"/>
  <c r="G29" i="5" s="1"/>
  <c r="G32" i="5" s="1"/>
  <c r="G34" i="5" s="1"/>
  <c r="G36" i="5" s="1"/>
  <c r="H29" i="5" s="1"/>
  <c r="H32" i="5" s="1"/>
  <c r="H34" i="5" s="1"/>
  <c r="H36" i="5" s="1"/>
  <c r="I29" i="5" s="1"/>
  <c r="I32" i="5" s="1"/>
  <c r="I34" i="5" s="1"/>
  <c r="I36" i="5" s="1"/>
  <c r="J29" i="5" s="1"/>
  <c r="J32" i="5" s="1"/>
  <c r="J34" i="5" s="1"/>
  <c r="J36" i="5" s="1"/>
  <c r="K29" i="5" s="1"/>
  <c r="K32" i="5" s="1"/>
  <c r="K34" i="5" s="1"/>
  <c r="K36" i="5" s="1"/>
  <c r="L29" i="5" s="1"/>
  <c r="L32" i="5" s="1"/>
  <c r="L34" i="5" s="1"/>
  <c r="L36" i="5" s="1"/>
  <c r="M29" i="5" s="1"/>
  <c r="E34" i="5"/>
  <c r="K81" i="5"/>
  <c r="I21" i="35" s="1"/>
  <c r="I17" i="27"/>
  <c r="K78" i="5"/>
  <c r="I18" i="35" s="1"/>
  <c r="L29" i="24"/>
  <c r="I29" i="24"/>
  <c r="C10" i="25"/>
  <c r="P30" i="5"/>
  <c r="P33" i="5"/>
  <c r="P31" i="5"/>
  <c r="I65" i="4"/>
  <c r="F13" i="37" s="1"/>
  <c r="H39" i="5"/>
  <c r="F17" i="27"/>
  <c r="H78" i="5"/>
  <c r="F18" i="35" s="1"/>
  <c r="J17" i="27"/>
  <c r="L78" i="5"/>
  <c r="J18" i="35" s="1"/>
  <c r="L39" i="5"/>
  <c r="J43" i="4"/>
  <c r="G67" i="4"/>
  <c r="D15" i="37" s="1"/>
  <c r="G81" i="5"/>
  <c r="E21" i="35" s="1"/>
  <c r="G78" i="5"/>
  <c r="E18" i="35" s="1"/>
  <c r="R27" i="5"/>
  <c r="N14" i="27" s="1"/>
  <c r="K39" i="5"/>
  <c r="G6" i="8" l="1"/>
  <c r="D11" i="8"/>
  <c r="H92" i="3"/>
  <c r="D3" i="12" s="1"/>
  <c r="J59" i="3"/>
  <c r="J61" i="3" s="1"/>
  <c r="J62" i="3" s="1"/>
  <c r="G61" i="3"/>
  <c r="G62" i="3" s="1"/>
  <c r="F112" i="5"/>
  <c r="R31" i="5"/>
  <c r="F74" i="5"/>
  <c r="D14" i="35" s="1"/>
  <c r="F117" i="5"/>
  <c r="C6" i="32" s="1"/>
  <c r="E17" i="27"/>
  <c r="G67" i="5"/>
  <c r="E7" i="35" s="1"/>
  <c r="F114" i="5"/>
  <c r="I78" i="5"/>
  <c r="G18" i="35" s="1"/>
  <c r="C19" i="25"/>
  <c r="G144" i="4"/>
  <c r="C25" i="25" s="1"/>
  <c r="I39" i="3"/>
  <c r="D5" i="9"/>
  <c r="L49" i="3"/>
  <c r="H6" i="8" s="1"/>
  <c r="K53" i="3"/>
  <c r="G10" i="8" s="1"/>
  <c r="G3" i="8"/>
  <c r="L47" i="3"/>
  <c r="H5" i="8"/>
  <c r="C14" i="8"/>
  <c r="C19" i="11"/>
  <c r="G86" i="3"/>
  <c r="G83" i="3"/>
  <c r="C21" i="11" s="1"/>
  <c r="G82" i="3"/>
  <c r="C20" i="11" s="1"/>
  <c r="G84" i="3"/>
  <c r="C22" i="11" s="1"/>
  <c r="F14" i="8"/>
  <c r="G68" i="5"/>
  <c r="E8" i="35" s="1"/>
  <c r="I65" i="5"/>
  <c r="G94" i="4"/>
  <c r="G97" i="4"/>
  <c r="G95" i="4"/>
  <c r="C4" i="24"/>
  <c r="S93" i="4"/>
  <c r="M4" i="24" s="1"/>
  <c r="G22" i="4"/>
  <c r="D8" i="19"/>
  <c r="K62" i="4"/>
  <c r="H10" i="37" s="1"/>
  <c r="G7" i="8"/>
  <c r="L46" i="4"/>
  <c r="M46" i="4" s="1"/>
  <c r="N46" i="4" s="1"/>
  <c r="J66" i="4"/>
  <c r="G14" i="37" s="1"/>
  <c r="I80" i="5"/>
  <c r="G20" i="35" s="1"/>
  <c r="E7" i="18"/>
  <c r="J51" i="4"/>
  <c r="J60" i="4"/>
  <c r="G8" i="37" s="1"/>
  <c r="H96" i="5"/>
  <c r="F18" i="27"/>
  <c r="J65" i="4"/>
  <c r="G13" i="37" s="1"/>
  <c r="K80" i="5"/>
  <c r="I20" i="35" s="1"/>
  <c r="G148" i="4"/>
  <c r="G70" i="4"/>
  <c r="D18" i="37" s="1"/>
  <c r="K43" i="4"/>
  <c r="L96" i="5"/>
  <c r="J18" i="27"/>
  <c r="H80" i="5"/>
  <c r="F20" i="35" s="1"/>
  <c r="C3" i="12"/>
  <c r="H6" i="28"/>
  <c r="P89" i="5"/>
  <c r="Q89" i="5"/>
  <c r="N89" i="5"/>
  <c r="L29" i="35" s="1"/>
  <c r="L89" i="5"/>
  <c r="J29" i="35" s="1"/>
  <c r="J89" i="5"/>
  <c r="H29" i="35" s="1"/>
  <c r="H89" i="5"/>
  <c r="F29" i="35" s="1"/>
  <c r="F89" i="5"/>
  <c r="D29" i="35" s="1"/>
  <c r="O89" i="5"/>
  <c r="M29" i="35" s="1"/>
  <c r="M89" i="5"/>
  <c r="K29" i="35" s="1"/>
  <c r="K89" i="5"/>
  <c r="I29" i="35" s="1"/>
  <c r="I89" i="5"/>
  <c r="G29" i="35" s="1"/>
  <c r="G89" i="5"/>
  <c r="E29" i="35" s="1"/>
  <c r="E89" i="5"/>
  <c r="C29" i="35" s="1"/>
  <c r="J81" i="5"/>
  <c r="H21" i="35" s="1"/>
  <c r="H17" i="27"/>
  <c r="J78" i="5"/>
  <c r="H18" i="35" s="1"/>
  <c r="J39" i="5"/>
  <c r="E6" i="29"/>
  <c r="F83" i="5"/>
  <c r="D23" i="35" s="1"/>
  <c r="E4" i="31"/>
  <c r="J48" i="4"/>
  <c r="F4" i="18" s="1"/>
  <c r="J57" i="4"/>
  <c r="G5" i="37" s="1"/>
  <c r="Q43" i="4"/>
  <c r="L4" i="18"/>
  <c r="G4" i="31"/>
  <c r="K45" i="4"/>
  <c r="J50" i="4"/>
  <c r="F6" i="18" s="1"/>
  <c r="J59" i="4"/>
  <c r="G7" i="37" s="1"/>
  <c r="J49" i="4"/>
  <c r="F5" i="18" s="1"/>
  <c r="J58" i="4"/>
  <c r="G6" i="37" s="1"/>
  <c r="J47" i="4"/>
  <c r="J56" i="4"/>
  <c r="G4" i="37" s="1"/>
  <c r="E3" i="18"/>
  <c r="I52" i="4"/>
  <c r="K3" i="18"/>
  <c r="P42" i="4"/>
  <c r="K96" i="5"/>
  <c r="I18" i="27"/>
  <c r="F97" i="5"/>
  <c r="G80" i="5"/>
  <c r="E20" i="35" s="1"/>
  <c r="L80" i="5"/>
  <c r="J20" i="35" s="1"/>
  <c r="M32" i="5"/>
  <c r="M30" i="5"/>
  <c r="K44" i="4"/>
  <c r="C6" i="25"/>
  <c r="H67" i="4"/>
  <c r="E15" i="37" s="1"/>
  <c r="H63" i="5"/>
  <c r="F3" i="35" s="1"/>
  <c r="F78" i="5"/>
  <c r="D18" i="35" s="1"/>
  <c r="F39" i="5"/>
  <c r="F81" i="5"/>
  <c r="D21" i="35" s="1"/>
  <c r="D17" i="27"/>
  <c r="I129" i="4"/>
  <c r="J63" i="4"/>
  <c r="G11" i="37" s="1"/>
  <c r="C4" i="26"/>
  <c r="F152" i="4"/>
  <c r="E96" i="5"/>
  <c r="C18" i="27"/>
  <c r="D8" i="18"/>
  <c r="H125" i="4"/>
  <c r="C5" i="32"/>
  <c r="J64" i="4"/>
  <c r="G12" i="37" s="1"/>
  <c r="I61" i="4"/>
  <c r="F9" i="37" s="1"/>
  <c r="K54" i="3" l="1"/>
  <c r="K62" i="3" s="1"/>
  <c r="L50" i="3"/>
  <c r="H7" i="8" s="1"/>
  <c r="J85" i="3"/>
  <c r="I40" i="3"/>
  <c r="E5" i="9"/>
  <c r="H3" i="8"/>
  <c r="L53" i="3"/>
  <c r="H10" i="8" s="1"/>
  <c r="H80" i="3"/>
  <c r="C24" i="11"/>
  <c r="G88" i="3"/>
  <c r="G69" i="5"/>
  <c r="G71" i="5" s="1"/>
  <c r="E11" i="35" s="1"/>
  <c r="G108" i="5"/>
  <c r="C16" i="8"/>
  <c r="J65" i="5"/>
  <c r="K65" i="5" s="1"/>
  <c r="G5" i="35"/>
  <c r="G103" i="4"/>
  <c r="G29" i="4"/>
  <c r="D7" i="21" s="1"/>
  <c r="D10" i="19"/>
  <c r="H20" i="4"/>
  <c r="S95" i="4"/>
  <c r="M6" i="24" s="1"/>
  <c r="C6" i="24"/>
  <c r="C5" i="24"/>
  <c r="S94" i="4"/>
  <c r="M5" i="24" s="1"/>
  <c r="C8" i="24"/>
  <c r="G98" i="4"/>
  <c r="C9" i="24" s="1"/>
  <c r="H92" i="4"/>
  <c r="D3" i="24" s="1"/>
  <c r="L62" i="4"/>
  <c r="I10" i="37" s="1"/>
  <c r="K66" i="4"/>
  <c r="H14" i="37" s="1"/>
  <c r="K51" i="4"/>
  <c r="K60" i="4"/>
  <c r="H8" i="37" s="1"/>
  <c r="F7" i="18"/>
  <c r="G14" i="8"/>
  <c r="G11" i="8"/>
  <c r="C7" i="26"/>
  <c r="J129" i="4"/>
  <c r="F10" i="25" s="1"/>
  <c r="K63" i="4"/>
  <c r="H11" i="37" s="1"/>
  <c r="E10" i="25"/>
  <c r="F80" i="5"/>
  <c r="D20" i="35" s="1"/>
  <c r="F79" i="5"/>
  <c r="F82" i="5"/>
  <c r="D22" i="35" s="1"/>
  <c r="O46" i="4"/>
  <c r="H148" i="4"/>
  <c r="E3" i="26" s="1"/>
  <c r="H70" i="4"/>
  <c r="E18" i="37" s="1"/>
  <c r="L44" i="4"/>
  <c r="M33" i="5"/>
  <c r="M34" i="5" s="1"/>
  <c r="M36" i="5" s="1"/>
  <c r="N29" i="5" s="1"/>
  <c r="D5" i="31"/>
  <c r="I4" i="31"/>
  <c r="L3" i="18"/>
  <c r="Q42" i="4"/>
  <c r="E8" i="18"/>
  <c r="I125" i="4"/>
  <c r="J61" i="4"/>
  <c r="G9" i="37" s="1"/>
  <c r="J80" i="5"/>
  <c r="H20" i="35" s="1"/>
  <c r="E90" i="5"/>
  <c r="R89" i="5"/>
  <c r="N29" i="35" s="1"/>
  <c r="K65" i="4"/>
  <c r="H13" i="37" s="1"/>
  <c r="I67" i="4"/>
  <c r="F15" i="37" s="1"/>
  <c r="K64" i="4"/>
  <c r="H12" i="37" s="1"/>
  <c r="D6" i="25"/>
  <c r="C4" i="31"/>
  <c r="E100" i="5"/>
  <c r="D18" i="27"/>
  <c r="F96" i="5"/>
  <c r="H67" i="5"/>
  <c r="F7" i="35" s="1"/>
  <c r="H68" i="5"/>
  <c r="F8" i="35" s="1"/>
  <c r="G112" i="5"/>
  <c r="G114" i="5"/>
  <c r="D3" i="32"/>
  <c r="G110" i="5"/>
  <c r="G116" i="5"/>
  <c r="G117" i="5" s="1"/>
  <c r="D6" i="32" s="1"/>
  <c r="K15" i="27"/>
  <c r="M38" i="5"/>
  <c r="K47" i="4"/>
  <c r="J52" i="4"/>
  <c r="K56" i="4"/>
  <c r="H4" i="37" s="1"/>
  <c r="K49" i="4"/>
  <c r="K58" i="4"/>
  <c r="H6" i="37" s="1"/>
  <c r="K50" i="4"/>
  <c r="G6" i="18" s="1"/>
  <c r="K59" i="4"/>
  <c r="H7" i="37" s="1"/>
  <c r="L45" i="4"/>
  <c r="R43" i="4"/>
  <c r="K57" i="4"/>
  <c r="H5" i="37" s="1"/>
  <c r="K48" i="4"/>
  <c r="J96" i="5"/>
  <c r="H18" i="27"/>
  <c r="J4" i="31"/>
  <c r="G4" i="18"/>
  <c r="G73" i="4"/>
  <c r="G74" i="4"/>
  <c r="D22" i="37" s="1"/>
  <c r="G139" i="4"/>
  <c r="G76" i="4"/>
  <c r="D3" i="26"/>
  <c r="F4" i="31"/>
  <c r="K92" i="3" l="1"/>
  <c r="E9" i="35"/>
  <c r="D21" i="37"/>
  <c r="G99" i="4"/>
  <c r="C10" i="24" s="1"/>
  <c r="D24" i="37"/>
  <c r="E6" i="9"/>
  <c r="G66" i="3"/>
  <c r="L54" i="3"/>
  <c r="H11" i="8" s="1"/>
  <c r="D18" i="11"/>
  <c r="H87" i="3"/>
  <c r="D25" i="11" s="1"/>
  <c r="G95" i="3"/>
  <c r="C6" i="12" s="1"/>
  <c r="C26" i="11"/>
  <c r="C17" i="8"/>
  <c r="I5" i="35"/>
  <c r="H5" i="35"/>
  <c r="L65" i="5"/>
  <c r="J5" i="35" s="1"/>
  <c r="G105" i="4"/>
  <c r="C14" i="24"/>
  <c r="S103" i="4"/>
  <c r="M14" i="24" s="1"/>
  <c r="G104" i="4"/>
  <c r="G107" i="4"/>
  <c r="H22" i="4"/>
  <c r="E8" i="19"/>
  <c r="M62" i="4"/>
  <c r="J10" i="37" s="1"/>
  <c r="F87" i="5"/>
  <c r="D27" i="35" s="1"/>
  <c r="C30" i="35"/>
  <c r="G3" i="12"/>
  <c r="F84" i="5"/>
  <c r="D24" i="35" s="1"/>
  <c r="D19" i="35"/>
  <c r="L60" i="4"/>
  <c r="I8" i="37" s="1"/>
  <c r="L51" i="4"/>
  <c r="G7" i="18"/>
  <c r="L66" i="4"/>
  <c r="I14" i="37" s="1"/>
  <c r="G75" i="4"/>
  <c r="D23" i="37" s="1"/>
  <c r="L48" i="4"/>
  <c r="L57" i="4"/>
  <c r="I5" i="37" s="1"/>
  <c r="M45" i="4"/>
  <c r="L59" i="4"/>
  <c r="I7" i="37" s="1"/>
  <c r="L50" i="4"/>
  <c r="H6" i="18" s="1"/>
  <c r="L49" i="4"/>
  <c r="H5" i="18" s="1"/>
  <c r="L58" i="4"/>
  <c r="I6" i="37" s="1"/>
  <c r="F8" i="18"/>
  <c r="J125" i="4"/>
  <c r="M39" i="5"/>
  <c r="M78" i="5"/>
  <c r="K18" i="35" s="1"/>
  <c r="K17" i="27"/>
  <c r="D4" i="31"/>
  <c r="L64" i="4"/>
  <c r="I12" i="37" s="1"/>
  <c r="F90" i="5"/>
  <c r="D30" i="35" s="1"/>
  <c r="E6" i="25"/>
  <c r="G77" i="5"/>
  <c r="E17" i="35" s="1"/>
  <c r="L63" i="4"/>
  <c r="I11" i="37" s="1"/>
  <c r="K129" i="4"/>
  <c r="G79" i="4"/>
  <c r="D27" i="37" s="1"/>
  <c r="S139" i="4"/>
  <c r="M20" i="25" s="1"/>
  <c r="C20" i="25"/>
  <c r="G141" i="4"/>
  <c r="G140" i="4"/>
  <c r="H4" i="31"/>
  <c r="L47" i="4"/>
  <c r="L56" i="4"/>
  <c r="K52" i="4"/>
  <c r="D5" i="32"/>
  <c r="H108" i="5"/>
  <c r="I63" i="5"/>
  <c r="G3" i="35" s="1"/>
  <c r="H69" i="5"/>
  <c r="H72" i="5"/>
  <c r="F12" i="35" s="1"/>
  <c r="E106" i="5"/>
  <c r="C8" i="31"/>
  <c r="I70" i="4"/>
  <c r="F18" i="37" s="1"/>
  <c r="I148" i="4"/>
  <c r="L65" i="4"/>
  <c r="I13" i="37" s="1"/>
  <c r="J67" i="4"/>
  <c r="G15" i="37" s="1"/>
  <c r="R42" i="4"/>
  <c r="N32" i="5"/>
  <c r="N30" i="5"/>
  <c r="H74" i="4"/>
  <c r="G74" i="5"/>
  <c r="E14" i="35" s="1"/>
  <c r="G79" i="5"/>
  <c r="E19" i="35" s="1"/>
  <c r="K61" i="4"/>
  <c r="H9" i="37" s="1"/>
  <c r="G5" i="18"/>
  <c r="L61" i="4" l="1"/>
  <c r="I9" i="37" s="1"/>
  <c r="I4" i="37"/>
  <c r="H14" i="8"/>
  <c r="L62" i="3"/>
  <c r="E22" i="37"/>
  <c r="C4" i="11"/>
  <c r="G68" i="3"/>
  <c r="C6" i="11" s="1"/>
  <c r="G67" i="3"/>
  <c r="C5" i="11" s="1"/>
  <c r="G69" i="3"/>
  <c r="C7" i="11" s="1"/>
  <c r="G71" i="3"/>
  <c r="L92" i="3"/>
  <c r="H3" i="12" s="1"/>
  <c r="M65" i="5"/>
  <c r="K5" i="35" s="1"/>
  <c r="H79" i="5"/>
  <c r="F19" i="35" s="1"/>
  <c r="F98" i="5"/>
  <c r="D6" i="31" s="1"/>
  <c r="C18" i="24"/>
  <c r="H102" i="4"/>
  <c r="D13" i="24" s="1"/>
  <c r="G108" i="4"/>
  <c r="S105" i="4"/>
  <c r="M16" i="24" s="1"/>
  <c r="C16" i="24"/>
  <c r="H29" i="4"/>
  <c r="E10" i="19"/>
  <c r="G113" i="4"/>
  <c r="F37" i="4"/>
  <c r="C15" i="24"/>
  <c r="S104" i="4"/>
  <c r="M15" i="24" s="1"/>
  <c r="N62" i="4"/>
  <c r="K10" i="37" s="1"/>
  <c r="F9" i="35"/>
  <c r="M66" i="4"/>
  <c r="J14" i="37" s="1"/>
  <c r="H7" i="18"/>
  <c r="M51" i="4"/>
  <c r="M60" i="4"/>
  <c r="J8" i="37" s="1"/>
  <c r="K67" i="4"/>
  <c r="H15" i="37" s="1"/>
  <c r="G97" i="5"/>
  <c r="L15" i="27"/>
  <c r="N38" i="5"/>
  <c r="H73" i="5"/>
  <c r="F13" i="35" s="1"/>
  <c r="I67" i="5"/>
  <c r="G7" i="35" s="1"/>
  <c r="H112" i="5"/>
  <c r="E3" i="32"/>
  <c r="H110" i="5"/>
  <c r="H116" i="5"/>
  <c r="H117" i="5" s="1"/>
  <c r="E6" i="32" s="1"/>
  <c r="H114" i="5"/>
  <c r="G8" i="18"/>
  <c r="K125" i="4"/>
  <c r="M56" i="4"/>
  <c r="J4" i="37" s="1"/>
  <c r="M47" i="4"/>
  <c r="L52" i="4"/>
  <c r="C22" i="25"/>
  <c r="S141" i="4"/>
  <c r="M22" i="25" s="1"/>
  <c r="G93" i="3"/>
  <c r="M63" i="4"/>
  <c r="J11" i="37" s="1"/>
  <c r="L129" i="4"/>
  <c r="H10" i="25" s="1"/>
  <c r="F91" i="5"/>
  <c r="D31" i="35" s="1"/>
  <c r="G87" i="5"/>
  <c r="E27" i="35" s="1"/>
  <c r="F6" i="25"/>
  <c r="M50" i="4"/>
  <c r="M59" i="4"/>
  <c r="J7" i="37" s="1"/>
  <c r="I6" i="18"/>
  <c r="M57" i="4"/>
  <c r="J5" i="37" s="1"/>
  <c r="M48" i="4"/>
  <c r="I79" i="5"/>
  <c r="G19" i="35" s="1"/>
  <c r="N33" i="5"/>
  <c r="N34" i="5" s="1"/>
  <c r="N36" i="5" s="1"/>
  <c r="O29" i="5" s="1"/>
  <c r="J70" i="4"/>
  <c r="G18" i="37" s="1"/>
  <c r="J148" i="4"/>
  <c r="G3" i="26" s="1"/>
  <c r="M65" i="4"/>
  <c r="J13" i="37" s="1"/>
  <c r="F3" i="26"/>
  <c r="I74" i="4"/>
  <c r="C15" i="31"/>
  <c r="H71" i="5"/>
  <c r="F11" i="35" s="1"/>
  <c r="L67" i="4"/>
  <c r="I15" i="37" s="1"/>
  <c r="C21" i="25"/>
  <c r="S140" i="4"/>
  <c r="M21" i="25" s="1"/>
  <c r="G142" i="4"/>
  <c r="G145" i="4" s="1"/>
  <c r="G80" i="4"/>
  <c r="D28" i="37" s="1"/>
  <c r="G10" i="25"/>
  <c r="G82" i="5"/>
  <c r="E22" i="35" s="1"/>
  <c r="G83" i="5"/>
  <c r="M64" i="4"/>
  <c r="J12" i="37" s="1"/>
  <c r="M80" i="5"/>
  <c r="K20" i="35" s="1"/>
  <c r="K18" i="27"/>
  <c r="M96" i="5"/>
  <c r="M49" i="4"/>
  <c r="M58" i="4"/>
  <c r="J6" i="37" s="1"/>
  <c r="G77" i="4"/>
  <c r="D25" i="37" s="1"/>
  <c r="M92" i="3" l="1"/>
  <c r="I3" i="12" s="1"/>
  <c r="F22" i="37"/>
  <c r="C9" i="11"/>
  <c r="H65" i="3"/>
  <c r="G74" i="3"/>
  <c r="N65" i="5"/>
  <c r="L5" i="35" s="1"/>
  <c r="J6" i="4"/>
  <c r="J7" i="4"/>
  <c r="J10" i="4"/>
  <c r="J9" i="4"/>
  <c r="J37" i="4"/>
  <c r="L37" i="4" s="1"/>
  <c r="J8" i="4"/>
  <c r="C19" i="24"/>
  <c r="G109" i="4"/>
  <c r="C20" i="24" s="1"/>
  <c r="G115" i="4"/>
  <c r="G117" i="4"/>
  <c r="C24" i="24"/>
  <c r="G114" i="4"/>
  <c r="G122" i="4"/>
  <c r="S113" i="4"/>
  <c r="M24" i="24" s="1"/>
  <c r="I38" i="4"/>
  <c r="J38" i="4" s="1"/>
  <c r="L38" i="4" s="1"/>
  <c r="E7" i="21"/>
  <c r="O62" i="4"/>
  <c r="L10" i="37" s="1"/>
  <c r="N60" i="4"/>
  <c r="K8" i="37" s="1"/>
  <c r="I7" i="18"/>
  <c r="N51" i="4"/>
  <c r="N66" i="4"/>
  <c r="K14" i="37" s="1"/>
  <c r="G84" i="5"/>
  <c r="E24" i="35" s="1"/>
  <c r="E23" i="35"/>
  <c r="J79" i="5"/>
  <c r="H19" i="35" s="1"/>
  <c r="H72" i="4"/>
  <c r="E20" i="37" s="1"/>
  <c r="N64" i="4"/>
  <c r="K12" i="37" s="1"/>
  <c r="N49" i="4"/>
  <c r="N58" i="4"/>
  <c r="K6" i="37" s="1"/>
  <c r="K4" i="31"/>
  <c r="H77" i="5"/>
  <c r="F17" i="35" s="1"/>
  <c r="G149" i="4"/>
  <c r="C23" i="25"/>
  <c r="G143" i="4"/>
  <c r="L70" i="4"/>
  <c r="I18" i="37" s="1"/>
  <c r="L148" i="4"/>
  <c r="I3" i="26" s="1"/>
  <c r="J74" i="4"/>
  <c r="N57" i="4"/>
  <c r="K5" i="37" s="1"/>
  <c r="N48" i="4"/>
  <c r="G90" i="5"/>
  <c r="E30" i="35" s="1"/>
  <c r="C4" i="12"/>
  <c r="N47" i="4"/>
  <c r="M52" i="4"/>
  <c r="N56" i="4"/>
  <c r="K4" i="37" s="1"/>
  <c r="G6" i="25"/>
  <c r="E5" i="31"/>
  <c r="K148" i="4"/>
  <c r="K70" i="4"/>
  <c r="H18" i="37" s="1"/>
  <c r="H74" i="5"/>
  <c r="F14" i="35" s="1"/>
  <c r="N65" i="4"/>
  <c r="K13" i="37" s="1"/>
  <c r="O32" i="5"/>
  <c r="O30" i="5"/>
  <c r="N50" i="4"/>
  <c r="N59" i="4"/>
  <c r="K7" i="37" s="1"/>
  <c r="F99" i="5"/>
  <c r="N63" i="4"/>
  <c r="K11" i="37" s="1"/>
  <c r="M129" i="4"/>
  <c r="L125" i="4"/>
  <c r="H8" i="18"/>
  <c r="E5" i="32"/>
  <c r="L17" i="27"/>
  <c r="N78" i="5"/>
  <c r="L18" i="35" s="1"/>
  <c r="N39" i="5"/>
  <c r="M61" i="4"/>
  <c r="J9" i="37" s="1"/>
  <c r="I68" i="5"/>
  <c r="G8" i="35" s="1"/>
  <c r="G22" i="37" l="1"/>
  <c r="H72" i="3"/>
  <c r="D3" i="11"/>
  <c r="H70" i="3"/>
  <c r="C12" i="11"/>
  <c r="G94" i="3"/>
  <c r="D16" i="8"/>
  <c r="O65" i="5"/>
  <c r="P65" i="5" s="1"/>
  <c r="G98" i="5"/>
  <c r="E6" i="31" s="1"/>
  <c r="K79" i="5"/>
  <c r="I19" i="35" s="1"/>
  <c r="C3" i="25"/>
  <c r="S122" i="4"/>
  <c r="M3" i="25" s="1"/>
  <c r="S115" i="4"/>
  <c r="M26" i="24" s="1"/>
  <c r="C26" i="24"/>
  <c r="G133" i="4"/>
  <c r="K10" i="4"/>
  <c r="E7" i="20"/>
  <c r="E3" i="20"/>
  <c r="J11" i="4"/>
  <c r="E8" i="20" s="1"/>
  <c r="K6" i="4"/>
  <c r="G132" i="4"/>
  <c r="S114" i="4"/>
  <c r="M25" i="24" s="1"/>
  <c r="C25" i="24"/>
  <c r="G118" i="4"/>
  <c r="C28" i="24"/>
  <c r="G124" i="4"/>
  <c r="H112" i="4"/>
  <c r="D23" i="24" s="1"/>
  <c r="K8" i="4"/>
  <c r="E5" i="20"/>
  <c r="K9" i="4"/>
  <c r="E6" i="20"/>
  <c r="E4" i="20"/>
  <c r="K7" i="4"/>
  <c r="P62" i="4"/>
  <c r="M10" i="37" s="1"/>
  <c r="O66" i="4"/>
  <c r="L14" i="37" s="1"/>
  <c r="O60" i="4"/>
  <c r="L8" i="37" s="1"/>
  <c r="J7" i="18"/>
  <c r="O51" i="4"/>
  <c r="L79" i="5"/>
  <c r="J19" i="35" s="1"/>
  <c r="J63" i="5"/>
  <c r="H3" i="35" s="1"/>
  <c r="I69" i="5"/>
  <c r="I108" i="5"/>
  <c r="I72" i="5"/>
  <c r="G12" i="35" s="1"/>
  <c r="I10" i="25"/>
  <c r="O63" i="4"/>
  <c r="L11" i="37" s="1"/>
  <c r="N129" i="4"/>
  <c r="J10" i="25" s="1"/>
  <c r="D7" i="31"/>
  <c r="F100" i="5"/>
  <c r="O59" i="4"/>
  <c r="L7" i="37" s="1"/>
  <c r="O50" i="4"/>
  <c r="O33" i="5"/>
  <c r="R33" i="5" s="1"/>
  <c r="O65" i="4"/>
  <c r="L13" i="37" s="1"/>
  <c r="H97" i="5"/>
  <c r="G151" i="4"/>
  <c r="C26" i="25"/>
  <c r="M125" i="4"/>
  <c r="I8" i="18"/>
  <c r="L74" i="4"/>
  <c r="D4" i="26"/>
  <c r="H82" i="5"/>
  <c r="F22" i="35" s="1"/>
  <c r="H83" i="5"/>
  <c r="F23" i="35" s="1"/>
  <c r="O64" i="4"/>
  <c r="L12" i="37" s="1"/>
  <c r="H75" i="4"/>
  <c r="E23" i="37" s="1"/>
  <c r="H73" i="4"/>
  <c r="E21" i="37" s="1"/>
  <c r="M67" i="4"/>
  <c r="J15" i="37" s="1"/>
  <c r="N96" i="5"/>
  <c r="L18" i="27"/>
  <c r="N80" i="5"/>
  <c r="L20" i="35" s="1"/>
  <c r="H6" i="25"/>
  <c r="M15" i="27"/>
  <c r="R30" i="5"/>
  <c r="K74" i="4"/>
  <c r="H3" i="26"/>
  <c r="O47" i="4"/>
  <c r="N52" i="4"/>
  <c r="O56" i="4"/>
  <c r="L4" i="37" s="1"/>
  <c r="H87" i="5"/>
  <c r="F27" i="35" s="1"/>
  <c r="G91" i="5"/>
  <c r="E31" i="35" s="1"/>
  <c r="O57" i="4"/>
  <c r="L5" i="37" s="1"/>
  <c r="O48" i="4"/>
  <c r="C24" i="25"/>
  <c r="H138" i="4"/>
  <c r="O58" i="4"/>
  <c r="L6" i="37" s="1"/>
  <c r="O49" i="4"/>
  <c r="N61" i="4"/>
  <c r="K9" i="37" s="1"/>
  <c r="Q65" i="5" l="1"/>
  <c r="R65" i="5"/>
  <c r="N5" i="35" s="1"/>
  <c r="M5" i="35"/>
  <c r="C5" i="12"/>
  <c r="G96" i="3"/>
  <c r="C7" i="12" s="1"/>
  <c r="I22" i="37"/>
  <c r="H22" i="37"/>
  <c r="M79" i="5"/>
  <c r="K19" i="35" s="1"/>
  <c r="D8" i="11"/>
  <c r="H86" i="3"/>
  <c r="H73" i="3"/>
  <c r="H74" i="3" s="1"/>
  <c r="D10" i="11"/>
  <c r="H71" i="3"/>
  <c r="D17" i="8"/>
  <c r="F4" i="20"/>
  <c r="H85" i="4"/>
  <c r="E4" i="22" s="1"/>
  <c r="K11" i="4"/>
  <c r="F8" i="20" s="1"/>
  <c r="H84" i="4"/>
  <c r="I88" i="4" s="1"/>
  <c r="F7" i="22" s="1"/>
  <c r="F3" i="20"/>
  <c r="F7" i="20"/>
  <c r="H88" i="4"/>
  <c r="E7" i="22" s="1"/>
  <c r="F6" i="20"/>
  <c r="H87" i="4"/>
  <c r="E6" i="22" s="1"/>
  <c r="F5" i="20"/>
  <c r="H86" i="4"/>
  <c r="E5" i="22" s="1"/>
  <c r="C5" i="25"/>
  <c r="G126" i="4"/>
  <c r="G134" i="4"/>
  <c r="C15" i="25" s="1"/>
  <c r="G128" i="4"/>
  <c r="C29" i="24"/>
  <c r="C13" i="25"/>
  <c r="S132" i="4"/>
  <c r="M13" i="25" s="1"/>
  <c r="C14" i="25"/>
  <c r="S133" i="4"/>
  <c r="M14" i="25" s="1"/>
  <c r="G119" i="4"/>
  <c r="C30" i="24" s="1"/>
  <c r="Q62" i="4"/>
  <c r="G9" i="35"/>
  <c r="P60" i="4"/>
  <c r="M8" i="37" s="1"/>
  <c r="P51" i="4"/>
  <c r="K7" i="18"/>
  <c r="P66" i="4"/>
  <c r="M14" i="37" s="1"/>
  <c r="D19" i="25"/>
  <c r="H144" i="4"/>
  <c r="H90" i="5"/>
  <c r="F30" i="35" s="1"/>
  <c r="O52" i="4"/>
  <c r="P47" i="4"/>
  <c r="P56" i="4"/>
  <c r="M4" i="37" s="1"/>
  <c r="L4" i="31"/>
  <c r="M148" i="4"/>
  <c r="M70" i="4"/>
  <c r="J18" i="37" s="1"/>
  <c r="H79" i="4"/>
  <c r="E27" i="37" s="1"/>
  <c r="H76" i="4"/>
  <c r="H84" i="5"/>
  <c r="F24" i="35" s="1"/>
  <c r="D6" i="26"/>
  <c r="F102" i="5"/>
  <c r="F106" i="5"/>
  <c r="D8" i="31"/>
  <c r="P63" i="4"/>
  <c r="M11" i="37" s="1"/>
  <c r="O129" i="4"/>
  <c r="K10" i="25" s="1"/>
  <c r="I73" i="5"/>
  <c r="G13" i="35" s="1"/>
  <c r="I71" i="5"/>
  <c r="G11" i="35" s="1"/>
  <c r="O61" i="4"/>
  <c r="L9" i="37" s="1"/>
  <c r="O34" i="5"/>
  <c r="N67" i="4"/>
  <c r="K15" i="37" s="1"/>
  <c r="P49" i="4"/>
  <c r="P58" i="4"/>
  <c r="M6" i="37" s="1"/>
  <c r="P48" i="4"/>
  <c r="P57" i="4"/>
  <c r="M5" i="37" s="1"/>
  <c r="G99" i="5"/>
  <c r="J8" i="18"/>
  <c r="N125" i="4"/>
  <c r="P64" i="4"/>
  <c r="M12" i="37" s="1"/>
  <c r="I77" i="5"/>
  <c r="G17" i="35" s="1"/>
  <c r="I6" i="25"/>
  <c r="F5" i="31"/>
  <c r="P65" i="4"/>
  <c r="M13" i="37" s="1"/>
  <c r="P50" i="4"/>
  <c r="P59" i="4"/>
  <c r="M7" i="37" s="1"/>
  <c r="I116" i="5"/>
  <c r="I117" i="5" s="1"/>
  <c r="F6" i="32" s="1"/>
  <c r="I112" i="5"/>
  <c r="F3" i="32"/>
  <c r="I110" i="5"/>
  <c r="I114" i="5"/>
  <c r="J67" i="5"/>
  <c r="H7" i="35" s="1"/>
  <c r="N79" i="5" l="1"/>
  <c r="L19" i="35" s="1"/>
  <c r="R62" i="4"/>
  <c r="O10" i="37" s="1"/>
  <c r="N10" i="37"/>
  <c r="E24" i="37"/>
  <c r="H88" i="3"/>
  <c r="H95" i="3" s="1"/>
  <c r="D23" i="11"/>
  <c r="H94" i="3"/>
  <c r="D5" i="12" s="1"/>
  <c r="D12" i="11"/>
  <c r="D9" i="11"/>
  <c r="I65" i="3"/>
  <c r="H77" i="3"/>
  <c r="D15" i="11" s="1"/>
  <c r="H75" i="3"/>
  <c r="D11" i="11"/>
  <c r="H93" i="3"/>
  <c r="D4" i="12" s="1"/>
  <c r="D24" i="11"/>
  <c r="I80" i="3"/>
  <c r="I85" i="4"/>
  <c r="F4" i="22" s="1"/>
  <c r="G135" i="4"/>
  <c r="G130" i="4"/>
  <c r="C9" i="25"/>
  <c r="G127" i="4"/>
  <c r="C8" i="25" s="1"/>
  <c r="C7" i="25"/>
  <c r="E3" i="22"/>
  <c r="H89" i="4"/>
  <c r="E8" i="22" s="1"/>
  <c r="H116" i="4"/>
  <c r="I84" i="4"/>
  <c r="I86" i="4"/>
  <c r="F5" i="22" s="1"/>
  <c r="I87" i="4"/>
  <c r="F6" i="22" s="1"/>
  <c r="S62" i="4"/>
  <c r="Q66" i="4"/>
  <c r="Q60" i="4"/>
  <c r="N8" i="37" s="1"/>
  <c r="Q51" i="4"/>
  <c r="H77" i="4"/>
  <c r="F5" i="32"/>
  <c r="Q59" i="4"/>
  <c r="N7" i="37" s="1"/>
  <c r="Q50" i="4"/>
  <c r="I82" i="5"/>
  <c r="G22" i="35" s="1"/>
  <c r="I83" i="5"/>
  <c r="G23" i="35" s="1"/>
  <c r="Q64" i="4"/>
  <c r="E7" i="31"/>
  <c r="G100" i="5"/>
  <c r="Q57" i="4"/>
  <c r="N5" i="37" s="1"/>
  <c r="Q48" i="4"/>
  <c r="Q49" i="4"/>
  <c r="Q58" i="4"/>
  <c r="N6" i="37" s="1"/>
  <c r="O67" i="4"/>
  <c r="L15" i="37" s="1"/>
  <c r="Q63" i="4"/>
  <c r="N11" i="37" s="1"/>
  <c r="P129" i="4"/>
  <c r="L10" i="25" s="1"/>
  <c r="D11" i="31"/>
  <c r="F105" i="5"/>
  <c r="H98" i="5"/>
  <c r="O125" i="4"/>
  <c r="K8" i="18"/>
  <c r="I87" i="5"/>
  <c r="G27" i="35" s="1"/>
  <c r="H91" i="5"/>
  <c r="F31" i="35" s="1"/>
  <c r="D25" i="25"/>
  <c r="P61" i="4"/>
  <c r="M9" i="37" s="1"/>
  <c r="Q65" i="4"/>
  <c r="J6" i="25"/>
  <c r="N70" i="4"/>
  <c r="K18" i="37" s="1"/>
  <c r="N148" i="4"/>
  <c r="K3" i="26" s="1"/>
  <c r="O35" i="5"/>
  <c r="O36" i="5" s="1"/>
  <c r="P29" i="5" s="1"/>
  <c r="P32" i="5" s="1"/>
  <c r="P34" i="5" s="1"/>
  <c r="I74" i="5"/>
  <c r="G14" i="35" s="1"/>
  <c r="D15" i="31"/>
  <c r="H142" i="4"/>
  <c r="H80" i="4"/>
  <c r="E28" i="37" s="1"/>
  <c r="M74" i="4"/>
  <c r="J3" i="26"/>
  <c r="Q56" i="4"/>
  <c r="Q47" i="4"/>
  <c r="P52" i="4"/>
  <c r="J68" i="5"/>
  <c r="H8" i="35" s="1"/>
  <c r="O79" i="5"/>
  <c r="M19" i="35" s="1"/>
  <c r="E25" i="37" l="1"/>
  <c r="Q61" i="4"/>
  <c r="N4" i="37"/>
  <c r="R66" i="4"/>
  <c r="N14" i="37"/>
  <c r="R64" i="4"/>
  <c r="N12" i="37"/>
  <c r="J22" i="37"/>
  <c r="R65" i="4"/>
  <c r="N13" i="37"/>
  <c r="I72" i="4"/>
  <c r="F20" i="37" s="1"/>
  <c r="D26" i="11"/>
  <c r="E3" i="11"/>
  <c r="I72" i="3"/>
  <c r="I70" i="3"/>
  <c r="I71" i="3"/>
  <c r="D13" i="11"/>
  <c r="H76" i="3"/>
  <c r="D14" i="11" s="1"/>
  <c r="D6" i="12"/>
  <c r="H96" i="3"/>
  <c r="D7" i="12" s="1"/>
  <c r="I87" i="3"/>
  <c r="E25" i="11" s="1"/>
  <c r="E18" i="11"/>
  <c r="I89" i="4"/>
  <c r="F8" i="22" s="1"/>
  <c r="J87" i="4"/>
  <c r="G6" i="22" s="1"/>
  <c r="F3" i="22"/>
  <c r="J85" i="4"/>
  <c r="G4" i="22" s="1"/>
  <c r="J86" i="4"/>
  <c r="G5" i="22" s="1"/>
  <c r="J88" i="4"/>
  <c r="G7" i="22" s="1"/>
  <c r="J84" i="4"/>
  <c r="C16" i="25"/>
  <c r="G150" i="4"/>
  <c r="D27" i="24"/>
  <c r="H117" i="4"/>
  <c r="H106" i="4"/>
  <c r="G131" i="4"/>
  <c r="C12" i="25" s="1"/>
  <c r="C11" i="25"/>
  <c r="R51" i="4"/>
  <c r="R60" i="4"/>
  <c r="P125" i="4"/>
  <c r="L8" i="18"/>
  <c r="H145" i="4"/>
  <c r="D23" i="25"/>
  <c r="H143" i="4"/>
  <c r="I75" i="4"/>
  <c r="F23" i="37" s="1"/>
  <c r="I73" i="4"/>
  <c r="F21" i="37" s="1"/>
  <c r="M16" i="27"/>
  <c r="O38" i="5"/>
  <c r="P67" i="4"/>
  <c r="M15" i="37" s="1"/>
  <c r="H99" i="5"/>
  <c r="K6" i="25"/>
  <c r="D14" i="31"/>
  <c r="G101" i="5"/>
  <c r="O148" i="4"/>
  <c r="L3" i="26" s="1"/>
  <c r="O70" i="4"/>
  <c r="L18" i="37" s="1"/>
  <c r="R48" i="4"/>
  <c r="R57" i="4"/>
  <c r="I84" i="5"/>
  <c r="G24" i="35" s="1"/>
  <c r="P79" i="5"/>
  <c r="Q79" i="5" s="1"/>
  <c r="R79" i="5" s="1"/>
  <c r="N19" i="35" s="1"/>
  <c r="K63" i="5"/>
  <c r="I3" i="35" s="1"/>
  <c r="J108" i="5"/>
  <c r="J69" i="5"/>
  <c r="J72" i="5"/>
  <c r="H12" i="35" s="1"/>
  <c r="R47" i="4"/>
  <c r="R56" i="4"/>
  <c r="O4" i="37" s="1"/>
  <c r="Q52" i="4"/>
  <c r="Q125" i="4" s="1"/>
  <c r="H149" i="4"/>
  <c r="I97" i="5"/>
  <c r="P35" i="5"/>
  <c r="P38" i="5" s="1"/>
  <c r="N74" i="4"/>
  <c r="I90" i="5"/>
  <c r="G30" i="35" s="1"/>
  <c r="F6" i="31"/>
  <c r="H100" i="5"/>
  <c r="R63" i="4"/>
  <c r="O11" i="37" s="1"/>
  <c r="Q129" i="4"/>
  <c r="R49" i="4"/>
  <c r="R58" i="4"/>
  <c r="G102" i="5"/>
  <c r="G106" i="5"/>
  <c r="E8" i="31"/>
  <c r="J77" i="5"/>
  <c r="H17" i="35" s="1"/>
  <c r="R50" i="4"/>
  <c r="R59" i="4"/>
  <c r="S58" i="4" l="1"/>
  <c r="O6" i="37"/>
  <c r="S65" i="4"/>
  <c r="O13" i="37"/>
  <c r="S64" i="4"/>
  <c r="O12" i="37"/>
  <c r="S59" i="4"/>
  <c r="O7" i="37"/>
  <c r="S66" i="4"/>
  <c r="O14" i="37"/>
  <c r="K22" i="37"/>
  <c r="S60" i="4"/>
  <c r="O8" i="37"/>
  <c r="S57" i="4"/>
  <c r="O5" i="37"/>
  <c r="Q67" i="4"/>
  <c r="N9" i="37"/>
  <c r="I73" i="3"/>
  <c r="I74" i="3" s="1"/>
  <c r="E10" i="11"/>
  <c r="E8" i="11"/>
  <c r="J65" i="3"/>
  <c r="I77" i="3"/>
  <c r="E15" i="11" s="1"/>
  <c r="E9" i="11"/>
  <c r="D17" i="24"/>
  <c r="H96" i="4"/>
  <c r="H107" i="4"/>
  <c r="H123" i="4"/>
  <c r="D4" i="25" s="1"/>
  <c r="H118" i="4"/>
  <c r="I112" i="4"/>
  <c r="D28" i="24"/>
  <c r="G152" i="4"/>
  <c r="D7" i="26" s="1"/>
  <c r="D5" i="26"/>
  <c r="K87" i="4"/>
  <c r="H6" i="22" s="1"/>
  <c r="G3" i="22"/>
  <c r="K84" i="4"/>
  <c r="J89" i="4"/>
  <c r="G8" i="22" s="1"/>
  <c r="K85" i="4"/>
  <c r="H4" i="22" s="1"/>
  <c r="K86" i="4"/>
  <c r="H5" i="22" s="1"/>
  <c r="K88" i="4"/>
  <c r="H7" i="22" s="1"/>
  <c r="H9" i="35"/>
  <c r="J82" i="5"/>
  <c r="H22" i="35" s="1"/>
  <c r="J83" i="5"/>
  <c r="H23" i="35" s="1"/>
  <c r="E15" i="31"/>
  <c r="H106" i="5"/>
  <c r="F15" i="31" s="1"/>
  <c r="F8" i="31"/>
  <c r="H102" i="5"/>
  <c r="F11" i="31" s="1"/>
  <c r="J87" i="5"/>
  <c r="H27" i="35" s="1"/>
  <c r="I91" i="5"/>
  <c r="G31" i="35" s="1"/>
  <c r="G5" i="31"/>
  <c r="R61" i="4"/>
  <c r="O9" i="37" s="1"/>
  <c r="S56" i="4"/>
  <c r="J73" i="5"/>
  <c r="H13" i="35" s="1"/>
  <c r="K67" i="5"/>
  <c r="I7" i="35" s="1"/>
  <c r="I98" i="5"/>
  <c r="O74" i="4"/>
  <c r="P70" i="4"/>
  <c r="M18" i="37" s="1"/>
  <c r="P148" i="4"/>
  <c r="M3" i="26" s="1"/>
  <c r="M17" i="27"/>
  <c r="O78" i="5"/>
  <c r="M18" i="35" s="1"/>
  <c r="O39" i="5"/>
  <c r="I138" i="4"/>
  <c r="D24" i="25"/>
  <c r="P130" i="4"/>
  <c r="L11" i="25" s="1"/>
  <c r="P126" i="4"/>
  <c r="L7" i="25" s="1"/>
  <c r="P131" i="4"/>
  <c r="L12" i="25" s="1"/>
  <c r="P127" i="4"/>
  <c r="L8" i="25" s="1"/>
  <c r="L6" i="25"/>
  <c r="P36" i="5"/>
  <c r="Q29" i="5" s="1"/>
  <c r="Q32" i="5" s="1"/>
  <c r="Q34" i="5" s="1"/>
  <c r="E11" i="31"/>
  <c r="S63" i="4"/>
  <c r="R129" i="4"/>
  <c r="S129" i="4" s="1"/>
  <c r="M10" i="25" s="1"/>
  <c r="P78" i="5"/>
  <c r="P39" i="5"/>
  <c r="P96" i="5" s="1"/>
  <c r="P81" i="5"/>
  <c r="E4" i="26"/>
  <c r="Q131" i="4"/>
  <c r="Q126" i="4"/>
  <c r="Q130" i="4"/>
  <c r="Q127" i="4"/>
  <c r="J71" i="5"/>
  <c r="H11" i="35" s="1"/>
  <c r="J114" i="5"/>
  <c r="J112" i="5"/>
  <c r="J116" i="5"/>
  <c r="J117" i="5" s="1"/>
  <c r="G6" i="32" s="1"/>
  <c r="G3" i="32"/>
  <c r="J110" i="5"/>
  <c r="E10" i="31"/>
  <c r="G103" i="5"/>
  <c r="F7" i="31"/>
  <c r="I79" i="4"/>
  <c r="F27" i="37" s="1"/>
  <c r="I76" i="4"/>
  <c r="D26" i="25"/>
  <c r="H151" i="4"/>
  <c r="R52" i="4"/>
  <c r="R125" i="4" s="1"/>
  <c r="L22" i="37" l="1"/>
  <c r="N15" i="37"/>
  <c r="Q148" i="4"/>
  <c r="Q70" i="4"/>
  <c r="F24" i="37"/>
  <c r="E12" i="11"/>
  <c r="I94" i="3"/>
  <c r="E5" i="12" s="1"/>
  <c r="F3" i="11"/>
  <c r="J70" i="3"/>
  <c r="J71" i="3" s="1"/>
  <c r="J72" i="3"/>
  <c r="E11" i="11"/>
  <c r="I75" i="3"/>
  <c r="E16" i="8"/>
  <c r="H3" i="22"/>
  <c r="L88" i="4"/>
  <c r="I7" i="22" s="1"/>
  <c r="K89" i="4"/>
  <c r="H8" i="22" s="1"/>
  <c r="L86" i="4"/>
  <c r="I5" i="22" s="1"/>
  <c r="L87" i="4"/>
  <c r="I6" i="22" s="1"/>
  <c r="L85" i="4"/>
  <c r="I4" i="22" s="1"/>
  <c r="E23" i="24"/>
  <c r="I116" i="4"/>
  <c r="H97" i="4"/>
  <c r="D7" i="24"/>
  <c r="L84" i="4"/>
  <c r="D29" i="24"/>
  <c r="H119" i="4"/>
  <c r="D30" i="24" s="1"/>
  <c r="D18" i="24"/>
  <c r="I102" i="4"/>
  <c r="E13" i="24" s="1"/>
  <c r="H108" i="4"/>
  <c r="R126" i="4"/>
  <c r="R131" i="4"/>
  <c r="R127" i="4"/>
  <c r="R130" i="4"/>
  <c r="E6" i="26"/>
  <c r="E12" i="31"/>
  <c r="P80" i="5"/>
  <c r="Q35" i="5"/>
  <c r="O96" i="5"/>
  <c r="M18" i="27"/>
  <c r="O80" i="5"/>
  <c r="M20" i="35" s="1"/>
  <c r="P74" i="4"/>
  <c r="R67" i="4"/>
  <c r="O15" i="37" s="1"/>
  <c r="S61" i="4"/>
  <c r="J90" i="5"/>
  <c r="H30" i="35" s="1"/>
  <c r="K77" i="5"/>
  <c r="I17" i="35" s="1"/>
  <c r="I80" i="4"/>
  <c r="F28" i="37" s="1"/>
  <c r="I142" i="4"/>
  <c r="I143" i="4" s="1"/>
  <c r="G5" i="32"/>
  <c r="J74" i="5"/>
  <c r="H14" i="35" s="1"/>
  <c r="E19" i="25"/>
  <c r="I144" i="4"/>
  <c r="G6" i="31"/>
  <c r="I99" i="5"/>
  <c r="I100" i="5" s="1"/>
  <c r="J84" i="5"/>
  <c r="H24" i="35" s="1"/>
  <c r="I77" i="4"/>
  <c r="F25" i="37" s="1"/>
  <c r="G105" i="5"/>
  <c r="K68" i="5"/>
  <c r="I8" i="35" s="1"/>
  <c r="M22" i="37" l="1"/>
  <c r="N18" i="37"/>
  <c r="Q74" i="4"/>
  <c r="N22" i="37" s="1"/>
  <c r="Q73" i="4"/>
  <c r="Q76" i="4"/>
  <c r="N24" i="37" s="1"/>
  <c r="J77" i="3"/>
  <c r="F15" i="11" s="1"/>
  <c r="K65" i="3"/>
  <c r="F9" i="11"/>
  <c r="E13" i="11"/>
  <c r="I76" i="3"/>
  <c r="E14" i="11" s="1"/>
  <c r="J73" i="3"/>
  <c r="F10" i="11"/>
  <c r="F8" i="11"/>
  <c r="E17" i="8"/>
  <c r="M88" i="4"/>
  <c r="J7" i="22" s="1"/>
  <c r="M84" i="4"/>
  <c r="M85" i="4"/>
  <c r="J4" i="22" s="1"/>
  <c r="M87" i="4"/>
  <c r="J6" i="22" s="1"/>
  <c r="L89" i="4"/>
  <c r="I8" i="22" s="1"/>
  <c r="I3" i="22"/>
  <c r="M86" i="4"/>
  <c r="J5" i="22" s="1"/>
  <c r="H124" i="4"/>
  <c r="H98" i="4"/>
  <c r="H128" i="4" s="1"/>
  <c r="I92" i="4"/>
  <c r="E3" i="24" s="1"/>
  <c r="D8" i="24"/>
  <c r="D19" i="24"/>
  <c r="H109" i="4"/>
  <c r="D20" i="24" s="1"/>
  <c r="I106" i="4"/>
  <c r="E27" i="24"/>
  <c r="I117" i="4"/>
  <c r="I102" i="5"/>
  <c r="I106" i="5"/>
  <c r="G8" i="31"/>
  <c r="E25" i="25"/>
  <c r="J97" i="5"/>
  <c r="I149" i="4"/>
  <c r="K82" i="5"/>
  <c r="I22" i="35" s="1"/>
  <c r="K83" i="5"/>
  <c r="I23" i="35" s="1"/>
  <c r="Q38" i="5"/>
  <c r="R35" i="5"/>
  <c r="N16" i="27" s="1"/>
  <c r="K108" i="5"/>
  <c r="L63" i="5"/>
  <c r="J3" i="35" s="1"/>
  <c r="K69" i="5"/>
  <c r="I9" i="35" s="1"/>
  <c r="K72" i="5"/>
  <c r="I12" i="35" s="1"/>
  <c r="H101" i="5"/>
  <c r="E14" i="31"/>
  <c r="J72" i="4"/>
  <c r="G20" i="37" s="1"/>
  <c r="J98" i="5"/>
  <c r="G7" i="31"/>
  <c r="E24" i="25"/>
  <c r="J138" i="4"/>
  <c r="E23" i="25"/>
  <c r="I145" i="4"/>
  <c r="K87" i="5"/>
  <c r="I27" i="35" s="1"/>
  <c r="J91" i="5"/>
  <c r="H31" i="35" s="1"/>
  <c r="R148" i="4"/>
  <c r="R70" i="4"/>
  <c r="O18" i="37" s="1"/>
  <c r="S67" i="4"/>
  <c r="M4" i="31"/>
  <c r="Q36" i="5"/>
  <c r="Q79" i="4" l="1"/>
  <c r="N21" i="37"/>
  <c r="F11" i="11"/>
  <c r="J75" i="3"/>
  <c r="J74" i="3"/>
  <c r="G3" i="11"/>
  <c r="K70" i="3"/>
  <c r="K71" i="3" s="1"/>
  <c r="K72" i="3"/>
  <c r="I86" i="3"/>
  <c r="E23" i="11"/>
  <c r="I88" i="3"/>
  <c r="I93" i="3"/>
  <c r="J112" i="4"/>
  <c r="E28" i="24"/>
  <c r="I118" i="4"/>
  <c r="I107" i="4"/>
  <c r="E17" i="24"/>
  <c r="I96" i="4"/>
  <c r="D9" i="24"/>
  <c r="H99" i="4"/>
  <c r="D10" i="24" s="1"/>
  <c r="H130" i="4"/>
  <c r="D9" i="25"/>
  <c r="H134" i="4"/>
  <c r="D5" i="25"/>
  <c r="H126" i="4"/>
  <c r="N85" i="4"/>
  <c r="K4" i="22" s="1"/>
  <c r="J3" i="22"/>
  <c r="N84" i="4"/>
  <c r="N87" i="4"/>
  <c r="K6" i="22" s="1"/>
  <c r="M89" i="4"/>
  <c r="J8" i="22" s="1"/>
  <c r="N86" i="4"/>
  <c r="K5" i="22" s="1"/>
  <c r="M116" i="4"/>
  <c r="N88" i="4"/>
  <c r="K7" i="22" s="1"/>
  <c r="T148" i="4"/>
  <c r="U148" i="4" s="1"/>
  <c r="O3" i="26" s="1"/>
  <c r="S148" i="4"/>
  <c r="N3" i="26" s="1"/>
  <c r="K90" i="5"/>
  <c r="I30" i="35" s="1"/>
  <c r="I151" i="4"/>
  <c r="E26" i="25"/>
  <c r="H6" i="31"/>
  <c r="H103" i="5"/>
  <c r="H105" i="5" s="1"/>
  <c r="F10" i="31"/>
  <c r="K71" i="5"/>
  <c r="I11" i="35" s="1"/>
  <c r="L67" i="5"/>
  <c r="J7" i="35" s="1"/>
  <c r="L68" i="5"/>
  <c r="J8" i="35" s="1"/>
  <c r="K84" i="5"/>
  <c r="I24" i="35" s="1"/>
  <c r="L77" i="5"/>
  <c r="J17" i="35" s="1"/>
  <c r="F4" i="26"/>
  <c r="G11" i="31"/>
  <c r="R74" i="4"/>
  <c r="O22" i="37" s="1"/>
  <c r="R73" i="4"/>
  <c r="R76" i="4"/>
  <c r="O24" i="37" s="1"/>
  <c r="S70" i="4"/>
  <c r="J99" i="5"/>
  <c r="F19" i="25"/>
  <c r="J144" i="4"/>
  <c r="J75" i="4"/>
  <c r="G23" i="37" s="1"/>
  <c r="J73" i="4"/>
  <c r="G21" i="37" s="1"/>
  <c r="K73" i="5"/>
  <c r="I13" i="35" s="1"/>
  <c r="K112" i="5"/>
  <c r="K114" i="5"/>
  <c r="H3" i="32"/>
  <c r="K110" i="5"/>
  <c r="K116" i="5"/>
  <c r="H5" i="32" s="1"/>
  <c r="Q78" i="5"/>
  <c r="Q81" i="5"/>
  <c r="Q39" i="5"/>
  <c r="R38" i="5"/>
  <c r="N17" i="27" s="1"/>
  <c r="H5" i="31"/>
  <c r="J100" i="5"/>
  <c r="G15" i="31"/>
  <c r="R79" i="4" l="1"/>
  <c r="O27" i="37" s="1"/>
  <c r="O21" i="37"/>
  <c r="N27" i="37"/>
  <c r="Q80" i="4"/>
  <c r="Q142" i="4"/>
  <c r="K73" i="3"/>
  <c r="K74" i="3" s="1"/>
  <c r="G10" i="11"/>
  <c r="F13" i="11"/>
  <c r="J76" i="3"/>
  <c r="F14" i="11" s="1"/>
  <c r="K77" i="3"/>
  <c r="G15" i="11" s="1"/>
  <c r="G9" i="11"/>
  <c r="L65" i="3"/>
  <c r="F12" i="11"/>
  <c r="J94" i="3"/>
  <c r="F5" i="12" s="1"/>
  <c r="G8" i="11"/>
  <c r="E4" i="12"/>
  <c r="J80" i="3"/>
  <c r="E24" i="11"/>
  <c r="E26" i="11"/>
  <c r="I95" i="3"/>
  <c r="E6" i="12" s="1"/>
  <c r="O87" i="4"/>
  <c r="L6" i="22" s="1"/>
  <c r="H127" i="4"/>
  <c r="D8" i="25" s="1"/>
  <c r="D7" i="25"/>
  <c r="D15" i="25"/>
  <c r="H135" i="4"/>
  <c r="D11" i="25"/>
  <c r="H131" i="4"/>
  <c r="D12" i="25" s="1"/>
  <c r="I119" i="4"/>
  <c r="E30" i="24" s="1"/>
  <c r="E29" i="24"/>
  <c r="J116" i="4"/>
  <c r="F23" i="24"/>
  <c r="M119" i="4"/>
  <c r="I30" i="24" s="1"/>
  <c r="I27" i="24"/>
  <c r="O88" i="4"/>
  <c r="L7" i="22" s="1"/>
  <c r="O84" i="4"/>
  <c r="O86" i="4"/>
  <c r="L5" i="22" s="1"/>
  <c r="N116" i="4"/>
  <c r="O85" i="4"/>
  <c r="L4" i="22" s="1"/>
  <c r="K3" i="22"/>
  <c r="N89" i="4"/>
  <c r="K8" i="22" s="1"/>
  <c r="E7" i="24"/>
  <c r="I123" i="4"/>
  <c r="E4" i="25" s="1"/>
  <c r="I97" i="4"/>
  <c r="J102" i="4"/>
  <c r="F13" i="24" s="1"/>
  <c r="I108" i="4"/>
  <c r="E18" i="24"/>
  <c r="J102" i="5"/>
  <c r="J106" i="5"/>
  <c r="H15" i="31" s="1"/>
  <c r="H8" i="31"/>
  <c r="J79" i="4"/>
  <c r="G27" i="37" s="1"/>
  <c r="J76" i="4"/>
  <c r="F25" i="25"/>
  <c r="R142" i="4"/>
  <c r="R80" i="4"/>
  <c r="L82" i="5"/>
  <c r="J22" i="35" s="1"/>
  <c r="L83" i="5"/>
  <c r="J23" i="35" s="1"/>
  <c r="L69" i="5"/>
  <c r="L108" i="5"/>
  <c r="M63" i="5"/>
  <c r="K3" i="35" s="1"/>
  <c r="L72" i="5"/>
  <c r="J12" i="35" s="1"/>
  <c r="K74" i="5"/>
  <c r="I14" i="35" s="1"/>
  <c r="I101" i="5"/>
  <c r="F14" i="31"/>
  <c r="F6" i="26"/>
  <c r="K91" i="5"/>
  <c r="I31" i="35" s="1"/>
  <c r="L87" i="5"/>
  <c r="J27" i="35" s="1"/>
  <c r="Q96" i="5"/>
  <c r="R39" i="5"/>
  <c r="N18" i="27" s="1"/>
  <c r="Q80" i="5"/>
  <c r="R80" i="5" s="1"/>
  <c r="N20" i="35" s="1"/>
  <c r="R78" i="5"/>
  <c r="N18" i="35" s="1"/>
  <c r="H7" i="31"/>
  <c r="K98" i="5"/>
  <c r="I6" i="31" s="1"/>
  <c r="F12" i="31"/>
  <c r="K117" i="5"/>
  <c r="H6" i="32" s="1"/>
  <c r="G24" i="37" l="1"/>
  <c r="Q149" i="4"/>
  <c r="N28" i="37"/>
  <c r="R149" i="4"/>
  <c r="O28" i="37"/>
  <c r="G12" i="11"/>
  <c r="K94" i="3"/>
  <c r="G5" i="12" s="1"/>
  <c r="L70" i="3"/>
  <c r="L71" i="3" s="1"/>
  <c r="H9" i="11" s="1"/>
  <c r="L72" i="3"/>
  <c r="H3" i="11"/>
  <c r="K75" i="3"/>
  <c r="G11" i="11"/>
  <c r="J87" i="3"/>
  <c r="F25" i="11" s="1"/>
  <c r="F18" i="11"/>
  <c r="I96" i="3"/>
  <c r="E7" i="12" s="1"/>
  <c r="E19" i="24"/>
  <c r="I109" i="4"/>
  <c r="E20" i="24" s="1"/>
  <c r="I98" i="4"/>
  <c r="J92" i="4"/>
  <c r="F3" i="24" s="1"/>
  <c r="E8" i="24"/>
  <c r="I124" i="4"/>
  <c r="J27" i="24"/>
  <c r="N119" i="4"/>
  <c r="J30" i="24" s="1"/>
  <c r="L3" i="22"/>
  <c r="P88" i="4"/>
  <c r="M7" i="22" s="1"/>
  <c r="O116" i="4"/>
  <c r="P85" i="4"/>
  <c r="M4" i="22" s="1"/>
  <c r="O89" i="4"/>
  <c r="L8" i="22" s="1"/>
  <c r="H150" i="4"/>
  <c r="D16" i="25"/>
  <c r="P84" i="4"/>
  <c r="P87" i="4"/>
  <c r="M6" i="22" s="1"/>
  <c r="J117" i="4"/>
  <c r="F27" i="24"/>
  <c r="J106" i="4"/>
  <c r="P86" i="4"/>
  <c r="M5" i="22" s="1"/>
  <c r="J77" i="4"/>
  <c r="J9" i="35"/>
  <c r="R69" i="5"/>
  <c r="N9" i="35" s="1"/>
  <c r="K99" i="5"/>
  <c r="I7" i="31" s="1"/>
  <c r="G10" i="31"/>
  <c r="I103" i="5"/>
  <c r="I105" i="5" s="1"/>
  <c r="M67" i="5"/>
  <c r="K7" i="35" s="1"/>
  <c r="L71" i="5"/>
  <c r="J11" i="35" s="1"/>
  <c r="L84" i="5"/>
  <c r="J24" i="35" s="1"/>
  <c r="J80" i="4"/>
  <c r="G28" i="37" s="1"/>
  <c r="J142" i="4"/>
  <c r="H11" i="31"/>
  <c r="R96" i="5"/>
  <c r="N4" i="31" s="1"/>
  <c r="S96" i="5"/>
  <c r="T96" i="5" s="1"/>
  <c r="O4" i="31" s="1"/>
  <c r="L90" i="5"/>
  <c r="J30" i="35" s="1"/>
  <c r="K97" i="5"/>
  <c r="L73" i="5"/>
  <c r="J13" i="35" s="1"/>
  <c r="I3" i="32"/>
  <c r="L116" i="5"/>
  <c r="I5" i="32" s="1"/>
  <c r="L114" i="5"/>
  <c r="L110" i="5"/>
  <c r="L112" i="5"/>
  <c r="M77" i="5"/>
  <c r="K17" i="35" s="1"/>
  <c r="L117" i="5" l="1"/>
  <c r="I6" i="32" s="1"/>
  <c r="G25" i="37"/>
  <c r="K76" i="3"/>
  <c r="G14" i="11" s="1"/>
  <c r="G13" i="11"/>
  <c r="H8" i="11"/>
  <c r="L73" i="3"/>
  <c r="H10" i="11"/>
  <c r="K72" i="4"/>
  <c r="K27" i="24"/>
  <c r="O119" i="4"/>
  <c r="K30" i="24" s="1"/>
  <c r="E9" i="24"/>
  <c r="I128" i="4"/>
  <c r="I99" i="4"/>
  <c r="E10" i="24" s="1"/>
  <c r="J107" i="4"/>
  <c r="F17" i="24"/>
  <c r="J96" i="4"/>
  <c r="J118" i="4"/>
  <c r="K112" i="4"/>
  <c r="F28" i="24"/>
  <c r="P116" i="4"/>
  <c r="Q87" i="4"/>
  <c r="Q84" i="4"/>
  <c r="M3" i="22"/>
  <c r="Q85" i="4"/>
  <c r="P89" i="4"/>
  <c r="M8" i="22" s="1"/>
  <c r="Q88" i="4"/>
  <c r="Q86" i="4"/>
  <c r="E5" i="26"/>
  <c r="H152" i="4"/>
  <c r="E7" i="26" s="1"/>
  <c r="I126" i="4"/>
  <c r="I134" i="4"/>
  <c r="E15" i="25" s="1"/>
  <c r="E5" i="25"/>
  <c r="M68" i="5"/>
  <c r="K8" i="35" s="1"/>
  <c r="M83" i="5"/>
  <c r="K23" i="35" s="1"/>
  <c r="M81" i="5"/>
  <c r="K21" i="35" s="1"/>
  <c r="I5" i="31"/>
  <c r="K100" i="5"/>
  <c r="F23" i="25"/>
  <c r="J145" i="4"/>
  <c r="J143" i="4"/>
  <c r="J149" i="4"/>
  <c r="G14" i="31"/>
  <c r="J101" i="5"/>
  <c r="R73" i="5"/>
  <c r="N13" i="35" s="1"/>
  <c r="M87" i="5"/>
  <c r="K27" i="35" s="1"/>
  <c r="L91" i="5"/>
  <c r="J31" i="35" s="1"/>
  <c r="L98" i="5"/>
  <c r="J6" i="31" s="1"/>
  <c r="L74" i="5"/>
  <c r="J14" i="35" s="1"/>
  <c r="G12" i="31"/>
  <c r="K75" i="4" l="1"/>
  <c r="H23" i="37" s="1"/>
  <c r="H20" i="37"/>
  <c r="M70" i="5"/>
  <c r="N63" i="5"/>
  <c r="L3" i="35" s="1"/>
  <c r="K73" i="4"/>
  <c r="H21" i="37" s="1"/>
  <c r="L75" i="3"/>
  <c r="H11" i="11"/>
  <c r="L74" i="3"/>
  <c r="M108" i="5"/>
  <c r="M110" i="5" s="1"/>
  <c r="F29" i="24"/>
  <c r="J119" i="4"/>
  <c r="F30" i="24" s="1"/>
  <c r="E7" i="25"/>
  <c r="I127" i="4"/>
  <c r="E8" i="25" s="1"/>
  <c r="R88" i="4"/>
  <c r="S88" i="4" s="1"/>
  <c r="Q116" i="4"/>
  <c r="Q119" i="4" s="1"/>
  <c r="R87" i="4"/>
  <c r="S87" i="4" s="1"/>
  <c r="Q89" i="4"/>
  <c r="R85" i="4"/>
  <c r="S85" i="4" s="1"/>
  <c r="R86" i="4"/>
  <c r="S86" i="4" s="1"/>
  <c r="R84" i="4"/>
  <c r="P119" i="4"/>
  <c r="L30" i="24" s="1"/>
  <c r="L27" i="24"/>
  <c r="K116" i="4"/>
  <c r="G23" i="24"/>
  <c r="J123" i="4"/>
  <c r="F4" i="25" s="1"/>
  <c r="F7" i="24"/>
  <c r="J97" i="4"/>
  <c r="F18" i="24"/>
  <c r="J108" i="4"/>
  <c r="K102" i="4"/>
  <c r="G13" i="24" s="1"/>
  <c r="E9" i="25"/>
  <c r="I135" i="4"/>
  <c r="I130" i="4"/>
  <c r="K10" i="35"/>
  <c r="L99" i="5"/>
  <c r="J7" i="31" s="1"/>
  <c r="M71" i="5"/>
  <c r="K11" i="35" s="1"/>
  <c r="F24" i="25"/>
  <c r="K138" i="4"/>
  <c r="F26" i="25"/>
  <c r="J151" i="4"/>
  <c r="K106" i="5"/>
  <c r="I15" i="31" s="1"/>
  <c r="I8" i="31"/>
  <c r="K102" i="5"/>
  <c r="M84" i="5"/>
  <c r="K24" i="35" s="1"/>
  <c r="L97" i="5"/>
  <c r="K79" i="4"/>
  <c r="H27" i="37" s="1"/>
  <c r="K76" i="4"/>
  <c r="M90" i="5"/>
  <c r="K30" i="35" s="1"/>
  <c r="J103" i="5"/>
  <c r="J105" i="5" s="1"/>
  <c r="H10" i="31"/>
  <c r="N67" i="5"/>
  <c r="L7" i="35" s="1"/>
  <c r="G4" i="26"/>
  <c r="M82" i="5"/>
  <c r="K22" i="35" s="1"/>
  <c r="M114" i="5" l="1"/>
  <c r="M112" i="5"/>
  <c r="J3" i="32"/>
  <c r="M116" i="5"/>
  <c r="J5" i="32" s="1"/>
  <c r="H24" i="37"/>
  <c r="L76" i="3"/>
  <c r="H14" i="11" s="1"/>
  <c r="H13" i="11"/>
  <c r="L94" i="3"/>
  <c r="H12" i="11"/>
  <c r="N68" i="5"/>
  <c r="L8" i="35" s="1"/>
  <c r="I150" i="4"/>
  <c r="E16" i="25"/>
  <c r="S84" i="4"/>
  <c r="S89" i="4" s="1"/>
  <c r="R116" i="4"/>
  <c r="R119" i="4" s="1"/>
  <c r="R89" i="4"/>
  <c r="I131" i="4"/>
  <c r="E12" i="25" s="1"/>
  <c r="E11" i="25"/>
  <c r="F19" i="24"/>
  <c r="J109" i="4"/>
  <c r="F20" i="24" s="1"/>
  <c r="J98" i="4"/>
  <c r="F8" i="24"/>
  <c r="J124" i="4"/>
  <c r="K92" i="4"/>
  <c r="G3" i="24" s="1"/>
  <c r="K117" i="4"/>
  <c r="G27" i="24"/>
  <c r="K106" i="4"/>
  <c r="O63" i="5"/>
  <c r="M3" i="35" s="1"/>
  <c r="K101" i="5"/>
  <c r="H14" i="31"/>
  <c r="N87" i="5"/>
  <c r="L27" i="35" s="1"/>
  <c r="M91" i="5"/>
  <c r="K31" i="35" s="1"/>
  <c r="I11" i="31"/>
  <c r="G6" i="26"/>
  <c r="M74" i="5"/>
  <c r="K14" i="35" s="1"/>
  <c r="N77" i="5"/>
  <c r="L17" i="35" s="1"/>
  <c r="H12" i="31"/>
  <c r="K80" i="4"/>
  <c r="H28" i="37" s="1"/>
  <c r="K142" i="4"/>
  <c r="K143" i="4" s="1"/>
  <c r="J5" i="31"/>
  <c r="L100" i="5"/>
  <c r="M98" i="5"/>
  <c r="K6" i="31" s="1"/>
  <c r="G19" i="25"/>
  <c r="K144" i="4"/>
  <c r="M117" i="5"/>
  <c r="J6" i="32" s="1"/>
  <c r="K77" i="4"/>
  <c r="H25" i="37" s="1"/>
  <c r="N70" i="5" l="1"/>
  <c r="L10" i="35" s="1"/>
  <c r="N108" i="5"/>
  <c r="M94" i="3"/>
  <c r="I5" i="12" s="1"/>
  <c r="H5" i="12"/>
  <c r="F15" i="8"/>
  <c r="F16" i="8"/>
  <c r="I152" i="4"/>
  <c r="F7" i="26" s="1"/>
  <c r="F5" i="26"/>
  <c r="K107" i="4"/>
  <c r="K96" i="4"/>
  <c r="G17" i="24"/>
  <c r="G28" i="24"/>
  <c r="K118" i="4"/>
  <c r="L112" i="4"/>
  <c r="J134" i="4"/>
  <c r="F15" i="25" s="1"/>
  <c r="J126" i="4"/>
  <c r="F5" i="25"/>
  <c r="J128" i="4"/>
  <c r="F9" i="24"/>
  <c r="J99" i="4"/>
  <c r="F10" i="24" s="1"/>
  <c r="L72" i="4"/>
  <c r="I20" i="37" s="1"/>
  <c r="L138" i="4"/>
  <c r="G24" i="25"/>
  <c r="L102" i="5"/>
  <c r="J11" i="31" s="1"/>
  <c r="L106" i="5"/>
  <c r="J15" i="31" s="1"/>
  <c r="J8" i="31"/>
  <c r="G23" i="25"/>
  <c r="K145" i="4"/>
  <c r="M99" i="5"/>
  <c r="K7" i="31" s="1"/>
  <c r="N90" i="5"/>
  <c r="L30" i="35" s="1"/>
  <c r="O67" i="5"/>
  <c r="M7" i="35" s="1"/>
  <c r="K3" i="32"/>
  <c r="N116" i="5"/>
  <c r="K5" i="32" s="1"/>
  <c r="N114" i="5"/>
  <c r="N112" i="5"/>
  <c r="N110" i="5"/>
  <c r="G25" i="25"/>
  <c r="K149" i="4"/>
  <c r="N83" i="5"/>
  <c r="L23" i="35" s="1"/>
  <c r="N81" i="5"/>
  <c r="L21" i="35" s="1"/>
  <c r="M97" i="5"/>
  <c r="K103" i="5"/>
  <c r="I12" i="31" s="1"/>
  <c r="I10" i="31"/>
  <c r="N71" i="5" l="1"/>
  <c r="L11" i="35" s="1"/>
  <c r="K105" i="5"/>
  <c r="L101" i="5" s="1"/>
  <c r="N117" i="5"/>
  <c r="K6" i="32" s="1"/>
  <c r="F17" i="8"/>
  <c r="F9" i="25"/>
  <c r="J130" i="4"/>
  <c r="J135" i="4"/>
  <c r="J127" i="4"/>
  <c r="F8" i="25" s="1"/>
  <c r="F7" i="25"/>
  <c r="L116" i="4"/>
  <c r="H23" i="24"/>
  <c r="K97" i="4"/>
  <c r="G7" i="24"/>
  <c r="K123" i="4"/>
  <c r="G4" i="25" s="1"/>
  <c r="K119" i="4"/>
  <c r="G29" i="24"/>
  <c r="S118" i="4"/>
  <c r="M29" i="24" s="1"/>
  <c r="G18" i="24"/>
  <c r="L102" i="4"/>
  <c r="H13" i="24" s="1"/>
  <c r="K108" i="4"/>
  <c r="O68" i="5"/>
  <c r="M8" i="35" s="1"/>
  <c r="N84" i="5"/>
  <c r="L24" i="35" s="1"/>
  <c r="O108" i="5"/>
  <c r="O70" i="5"/>
  <c r="N91" i="5"/>
  <c r="L31" i="35" s="1"/>
  <c r="O87" i="5"/>
  <c r="M27" i="35" s="1"/>
  <c r="G26" i="25"/>
  <c r="K151" i="4"/>
  <c r="I14" i="31"/>
  <c r="K5" i="31"/>
  <c r="M100" i="5"/>
  <c r="H4" i="26"/>
  <c r="H19" i="25"/>
  <c r="L144" i="4"/>
  <c r="H25" i="25" s="1"/>
  <c r="L75" i="4"/>
  <c r="I23" i="37" s="1"/>
  <c r="L73" i="4"/>
  <c r="I21" i="37" s="1"/>
  <c r="N82" i="5"/>
  <c r="L22" i="35" s="1"/>
  <c r="N74" i="5" l="1"/>
  <c r="L14" i="35" s="1"/>
  <c r="J93" i="3"/>
  <c r="G16" i="8"/>
  <c r="F23" i="11"/>
  <c r="J88" i="3"/>
  <c r="J86" i="3"/>
  <c r="P63" i="5"/>
  <c r="G19" i="24"/>
  <c r="K109" i="4"/>
  <c r="G20" i="24" s="1"/>
  <c r="G30" i="24"/>
  <c r="F16" i="25"/>
  <c r="J150" i="4"/>
  <c r="K98" i="4"/>
  <c r="K128" i="4" s="1"/>
  <c r="K124" i="4"/>
  <c r="L92" i="4"/>
  <c r="H3" i="24" s="1"/>
  <c r="G8" i="24"/>
  <c r="L119" i="4"/>
  <c r="H30" i="24" s="1"/>
  <c r="S116" i="4"/>
  <c r="M27" i="24" s="1"/>
  <c r="H27" i="24"/>
  <c r="L106" i="4"/>
  <c r="F11" i="25"/>
  <c r="J131" i="4"/>
  <c r="F12" i="25" s="1"/>
  <c r="M10" i="35"/>
  <c r="L79" i="4"/>
  <c r="I27" i="37" s="1"/>
  <c r="M106" i="5"/>
  <c r="K15" i="31" s="1"/>
  <c r="K8" i="31"/>
  <c r="M102" i="5"/>
  <c r="K11" i="31" s="1"/>
  <c r="O90" i="5"/>
  <c r="M30" i="35" s="1"/>
  <c r="O71" i="5"/>
  <c r="M11" i="35" s="1"/>
  <c r="P67" i="5"/>
  <c r="N98" i="5"/>
  <c r="L6" i="31" s="1"/>
  <c r="O77" i="5"/>
  <c r="M17" i="35" s="1"/>
  <c r="L76" i="4"/>
  <c r="J10" i="31"/>
  <c r="L103" i="5"/>
  <c r="J12" i="31" s="1"/>
  <c r="H6" i="26"/>
  <c r="N99" i="5"/>
  <c r="L7" i="31" s="1"/>
  <c r="O117" i="5"/>
  <c r="O110" i="5"/>
  <c r="O116" i="5"/>
  <c r="O112" i="5"/>
  <c r="O114" i="5"/>
  <c r="N97" i="5" l="1"/>
  <c r="L5" i="31" s="1"/>
  <c r="I24" i="37"/>
  <c r="K80" i="3"/>
  <c r="F24" i="11"/>
  <c r="G17" i="8"/>
  <c r="J95" i="3"/>
  <c r="J96" i="3" s="1"/>
  <c r="F7" i="12" s="1"/>
  <c r="F26" i="11"/>
  <c r="F4" i="12"/>
  <c r="L96" i="4"/>
  <c r="L97" i="4" s="1"/>
  <c r="H8" i="24" s="1"/>
  <c r="K130" i="4"/>
  <c r="G11" i="25" s="1"/>
  <c r="G9" i="25"/>
  <c r="S119" i="4"/>
  <c r="M30" i="24" s="1"/>
  <c r="K99" i="4"/>
  <c r="G10" i="24" s="1"/>
  <c r="G9" i="24"/>
  <c r="J152" i="4"/>
  <c r="G7" i="26" s="1"/>
  <c r="G5" i="26"/>
  <c r="H17" i="24"/>
  <c r="L107" i="4"/>
  <c r="G5" i="25"/>
  <c r="K134" i="4"/>
  <c r="K126" i="4"/>
  <c r="L80" i="4"/>
  <c r="I28" i="37" s="1"/>
  <c r="L142" i="4"/>
  <c r="O83" i="5"/>
  <c r="M23" i="35" s="1"/>
  <c r="O81" i="5"/>
  <c r="M21" i="35" s="1"/>
  <c r="O74" i="5"/>
  <c r="M14" i="35" s="1"/>
  <c r="P87" i="5"/>
  <c r="P90" i="5" s="1"/>
  <c r="O91" i="5"/>
  <c r="M31" i="35" s="1"/>
  <c r="L77" i="4"/>
  <c r="I25" i="37" s="1"/>
  <c r="L105" i="5"/>
  <c r="P68" i="5"/>
  <c r="N100" i="5" l="1"/>
  <c r="N106" i="5" s="1"/>
  <c r="L15" i="31" s="1"/>
  <c r="K131" i="4"/>
  <c r="G12" i="25" s="1"/>
  <c r="L123" i="4"/>
  <c r="H4" i="25" s="1"/>
  <c r="H7" i="24"/>
  <c r="G23" i="11"/>
  <c r="G18" i="11"/>
  <c r="K87" i="3"/>
  <c r="G25" i="11" s="1"/>
  <c r="K86" i="3"/>
  <c r="F6" i="12"/>
  <c r="K93" i="3"/>
  <c r="L98" i="4"/>
  <c r="L99" i="4" s="1"/>
  <c r="H10" i="24" s="1"/>
  <c r="M92" i="4"/>
  <c r="G15" i="25"/>
  <c r="K135" i="4"/>
  <c r="H18" i="24"/>
  <c r="L124" i="4"/>
  <c r="L108" i="4"/>
  <c r="M102" i="4"/>
  <c r="K127" i="4"/>
  <c r="G8" i="25" s="1"/>
  <c r="G7" i="25"/>
  <c r="I3" i="24"/>
  <c r="Q63" i="5"/>
  <c r="P108" i="5"/>
  <c r="P70" i="5"/>
  <c r="P91" i="5"/>
  <c r="P99" i="5" s="1"/>
  <c r="Q87" i="5"/>
  <c r="O84" i="5"/>
  <c r="M24" i="35" s="1"/>
  <c r="R81" i="5"/>
  <c r="N21" i="35" s="1"/>
  <c r="L145" i="4"/>
  <c r="H23" i="25"/>
  <c r="L143" i="4"/>
  <c r="L149" i="4"/>
  <c r="J14" i="31"/>
  <c r="M101" i="5"/>
  <c r="M72" i="4"/>
  <c r="J20" i="37" s="1"/>
  <c r="O99" i="5"/>
  <c r="M7" i="31" s="1"/>
  <c r="O97" i="5"/>
  <c r="O82" i="5"/>
  <c r="M22" i="35" s="1"/>
  <c r="N102" i="5" l="1"/>
  <c r="R102" i="5" s="1"/>
  <c r="N11" i="31" s="1"/>
  <c r="L8" i="31"/>
  <c r="H9" i="24"/>
  <c r="G24" i="11"/>
  <c r="L80" i="3"/>
  <c r="K88" i="3"/>
  <c r="G4" i="12"/>
  <c r="L109" i="4"/>
  <c r="H20" i="24" s="1"/>
  <c r="H19" i="24"/>
  <c r="L128" i="4"/>
  <c r="M106" i="4"/>
  <c r="M107" i="4" s="1"/>
  <c r="I13" i="24"/>
  <c r="H5" i="25"/>
  <c r="L134" i="4"/>
  <c r="H15" i="25" s="1"/>
  <c r="L126" i="4"/>
  <c r="G16" i="25"/>
  <c r="K150" i="4"/>
  <c r="P71" i="5"/>
  <c r="P74" i="5" s="1"/>
  <c r="P97" i="5" s="1"/>
  <c r="M5" i="31"/>
  <c r="M103" i="5"/>
  <c r="K12" i="31" s="1"/>
  <c r="K10" i="31"/>
  <c r="M105" i="5"/>
  <c r="I4" i="26"/>
  <c r="H24" i="25"/>
  <c r="M138" i="4"/>
  <c r="L151" i="4"/>
  <c r="I6" i="26" s="1"/>
  <c r="H26" i="25"/>
  <c r="O98" i="5"/>
  <c r="M6" i="31" s="1"/>
  <c r="Q90" i="5"/>
  <c r="Q91" i="5" s="1"/>
  <c r="R87" i="5"/>
  <c r="Q67" i="5"/>
  <c r="Q68" i="5" s="1"/>
  <c r="P77" i="5"/>
  <c r="M75" i="4"/>
  <c r="J23" i="37" s="1"/>
  <c r="M73" i="4"/>
  <c r="J21" i="37" s="1"/>
  <c r="P117" i="5"/>
  <c r="P116" i="5"/>
  <c r="P112" i="5"/>
  <c r="P110" i="5"/>
  <c r="P114" i="5"/>
  <c r="L11" i="31" l="1"/>
  <c r="K95" i="3"/>
  <c r="G26" i="11"/>
  <c r="H18" i="11"/>
  <c r="L87" i="3"/>
  <c r="H25" i="11" s="1"/>
  <c r="M108" i="4"/>
  <c r="I18" i="24"/>
  <c r="N102" i="4"/>
  <c r="H5" i="26"/>
  <c r="K152" i="4"/>
  <c r="H7" i="26" s="1"/>
  <c r="H7" i="25"/>
  <c r="L127" i="4"/>
  <c r="H8" i="25" s="1"/>
  <c r="H9" i="25"/>
  <c r="L130" i="4"/>
  <c r="L135" i="4"/>
  <c r="I17" i="24"/>
  <c r="M96" i="4"/>
  <c r="Q108" i="5"/>
  <c r="Q70" i="5"/>
  <c r="I19" i="25"/>
  <c r="M144" i="4"/>
  <c r="I25" i="25" s="1"/>
  <c r="N101" i="5"/>
  <c r="K14" i="31"/>
  <c r="M79" i="4"/>
  <c r="J27" i="37" s="1"/>
  <c r="M76" i="4"/>
  <c r="P82" i="5"/>
  <c r="Q77" i="5" s="1"/>
  <c r="P83" i="5"/>
  <c r="P84" i="5" s="1"/>
  <c r="P98" i="5" s="1"/>
  <c r="P100" i="5" s="1"/>
  <c r="R67" i="5"/>
  <c r="N7" i="35" s="1"/>
  <c r="Q99" i="5"/>
  <c r="R99" i="5" s="1"/>
  <c r="N7" i="31" s="1"/>
  <c r="R91" i="5"/>
  <c r="N31" i="35" s="1"/>
  <c r="O100" i="5"/>
  <c r="J24" i="37" l="1"/>
  <c r="H16" i="8"/>
  <c r="G6" i="12"/>
  <c r="K96" i="3"/>
  <c r="L131" i="4"/>
  <c r="H12" i="25" s="1"/>
  <c r="H11" i="25"/>
  <c r="M123" i="4"/>
  <c r="M97" i="4"/>
  <c r="I7" i="24"/>
  <c r="L150" i="4"/>
  <c r="H16" i="25"/>
  <c r="J13" i="24"/>
  <c r="N106" i="4"/>
  <c r="I19" i="24"/>
  <c r="M109" i="4"/>
  <c r="I20" i="24" s="1"/>
  <c r="Q71" i="5"/>
  <c r="R70" i="5"/>
  <c r="N10" i="35" s="1"/>
  <c r="M8" i="31"/>
  <c r="Q82" i="5"/>
  <c r="R82" i="5" s="1"/>
  <c r="Q83" i="5"/>
  <c r="R77" i="5"/>
  <c r="L10" i="31"/>
  <c r="N103" i="5"/>
  <c r="L12" i="31" s="1"/>
  <c r="Q114" i="5"/>
  <c r="Q117" i="5"/>
  <c r="Q116" i="5"/>
  <c r="R116" i="5" s="1"/>
  <c r="Q112" i="5"/>
  <c r="Q110" i="5"/>
  <c r="R108" i="5"/>
  <c r="M142" i="4"/>
  <c r="M80" i="4"/>
  <c r="J28" i="37" s="1"/>
  <c r="M77" i="4"/>
  <c r="J25" i="37" s="1"/>
  <c r="G7" i="12" l="1"/>
  <c r="H17" i="8"/>
  <c r="I5" i="26"/>
  <c r="L152" i="4"/>
  <c r="I7" i="26" s="1"/>
  <c r="I4" i="25"/>
  <c r="N107" i="4"/>
  <c r="J17" i="24"/>
  <c r="I8" i="24"/>
  <c r="M98" i="4"/>
  <c r="N92" i="4"/>
  <c r="N96" i="4" s="1"/>
  <c r="J7" i="24" s="1"/>
  <c r="M124" i="4"/>
  <c r="R71" i="5"/>
  <c r="N11" i="35" s="1"/>
  <c r="Q74" i="5"/>
  <c r="N72" i="4"/>
  <c r="K20" i="37" s="1"/>
  <c r="M145" i="4"/>
  <c r="I23" i="25"/>
  <c r="M143" i="4"/>
  <c r="M149" i="4"/>
  <c r="R83" i="5"/>
  <c r="N23" i="35" s="1"/>
  <c r="Q84" i="5"/>
  <c r="N105" i="5"/>
  <c r="L88" i="3" l="1"/>
  <c r="H23" i="11"/>
  <c r="L86" i="3"/>
  <c r="H24" i="11" s="1"/>
  <c r="L93" i="3"/>
  <c r="I5" i="25"/>
  <c r="M134" i="4"/>
  <c r="I15" i="25" s="1"/>
  <c r="M126" i="4"/>
  <c r="I9" i="24"/>
  <c r="M99" i="4"/>
  <c r="I10" i="24" s="1"/>
  <c r="M128" i="4"/>
  <c r="J3" i="24"/>
  <c r="N97" i="4"/>
  <c r="J18" i="24"/>
  <c r="N108" i="4"/>
  <c r="O102" i="4"/>
  <c r="N123" i="4"/>
  <c r="J4" i="25" s="1"/>
  <c r="Q97" i="5"/>
  <c r="R74" i="5"/>
  <c r="N14" i="35" s="1"/>
  <c r="L14" i="31"/>
  <c r="O101" i="5"/>
  <c r="Q98" i="5"/>
  <c r="R84" i="5"/>
  <c r="N24" i="35" s="1"/>
  <c r="I24" i="25"/>
  <c r="N138" i="4"/>
  <c r="M151" i="4"/>
  <c r="J6" i="26" s="1"/>
  <c r="I26" i="25"/>
  <c r="J4" i="26"/>
  <c r="N75" i="4"/>
  <c r="K23" i="37" s="1"/>
  <c r="N73" i="4"/>
  <c r="K21" i="37" s="1"/>
  <c r="H4" i="12" l="1"/>
  <c r="M93" i="3"/>
  <c r="I4" i="12" s="1"/>
  <c r="L95" i="3"/>
  <c r="H26" i="11"/>
  <c r="O106" i="4"/>
  <c r="K13" i="24"/>
  <c r="I7" i="25"/>
  <c r="M127" i="4"/>
  <c r="I8" i="25" s="1"/>
  <c r="N109" i="4"/>
  <c r="J20" i="24" s="1"/>
  <c r="J19" i="24"/>
  <c r="N98" i="4"/>
  <c r="N128" i="4" s="1"/>
  <c r="J8" i="24"/>
  <c r="N124" i="4"/>
  <c r="O92" i="4"/>
  <c r="I9" i="25"/>
  <c r="M130" i="4"/>
  <c r="M135" i="4"/>
  <c r="S97" i="5"/>
  <c r="T97" i="5" s="1"/>
  <c r="O5" i="31" s="1"/>
  <c r="R97" i="5"/>
  <c r="N5" i="31" s="1"/>
  <c r="S98" i="5"/>
  <c r="T98" i="5" s="1"/>
  <c r="O6" i="31" s="1"/>
  <c r="R98" i="5"/>
  <c r="N6" i="31" s="1"/>
  <c r="Q100" i="5"/>
  <c r="N79" i="4"/>
  <c r="K27" i="37" s="1"/>
  <c r="N76" i="4"/>
  <c r="J19" i="25"/>
  <c r="N144" i="4"/>
  <c r="J25" i="25" s="1"/>
  <c r="M10" i="31"/>
  <c r="O103" i="5"/>
  <c r="M12" i="31" s="1"/>
  <c r="K24" i="37" l="1"/>
  <c r="H6" i="12"/>
  <c r="M95" i="3"/>
  <c r="I6" i="12" s="1"/>
  <c r="L96" i="3"/>
  <c r="J9" i="25"/>
  <c r="N130" i="4"/>
  <c r="I11" i="25"/>
  <c r="M131" i="4"/>
  <c r="I12" i="25" s="1"/>
  <c r="K3" i="24"/>
  <c r="I16" i="25"/>
  <c r="M150" i="4"/>
  <c r="N126" i="4"/>
  <c r="J5" i="25"/>
  <c r="N134" i="4"/>
  <c r="J15" i="25" s="1"/>
  <c r="J9" i="24"/>
  <c r="N99" i="4"/>
  <c r="J10" i="24" s="1"/>
  <c r="K17" i="24"/>
  <c r="O107" i="4"/>
  <c r="O96" i="4"/>
  <c r="K7" i="24" s="1"/>
  <c r="J11" i="25"/>
  <c r="N131" i="4"/>
  <c r="J12" i="25" s="1"/>
  <c r="N142" i="4"/>
  <c r="N80" i="4"/>
  <c r="K28" i="37" s="1"/>
  <c r="S100" i="5"/>
  <c r="T100" i="5" s="1"/>
  <c r="O8" i="31" s="1"/>
  <c r="R100" i="5"/>
  <c r="N8" i="31" s="1"/>
  <c r="O104" i="5"/>
  <c r="N77" i="4"/>
  <c r="K25" i="37" s="1"/>
  <c r="H7" i="12" l="1"/>
  <c r="M96" i="3"/>
  <c r="I7" i="12" s="1"/>
  <c r="J5" i="26"/>
  <c r="M152" i="4"/>
  <c r="J7" i="26" s="1"/>
  <c r="O97" i="4"/>
  <c r="O124" i="4" s="1"/>
  <c r="N135" i="4"/>
  <c r="O108" i="4"/>
  <c r="K18" i="24"/>
  <c r="P102" i="4"/>
  <c r="J7" i="25"/>
  <c r="N127" i="4"/>
  <c r="J8" i="25" s="1"/>
  <c r="O123" i="4"/>
  <c r="K4" i="25" s="1"/>
  <c r="M13" i="31"/>
  <c r="O106" i="5"/>
  <c r="M15" i="31" s="1"/>
  <c r="O105" i="5"/>
  <c r="O72" i="4"/>
  <c r="L20" i="37" s="1"/>
  <c r="N149" i="4"/>
  <c r="N145" i="4"/>
  <c r="J23" i="25"/>
  <c r="N143" i="4"/>
  <c r="K19" i="24" l="1"/>
  <c r="O109" i="4"/>
  <c r="K20" i="24" s="1"/>
  <c r="O98" i="4"/>
  <c r="O128" i="4" s="1"/>
  <c r="P92" i="4"/>
  <c r="L3" i="24" s="1"/>
  <c r="K8" i="24"/>
  <c r="P106" i="4"/>
  <c r="P107" i="4" s="1"/>
  <c r="L13" i="24"/>
  <c r="O134" i="4"/>
  <c r="K15" i="25" s="1"/>
  <c r="K5" i="25"/>
  <c r="O126" i="4"/>
  <c r="J16" i="25"/>
  <c r="N150" i="4"/>
  <c r="K5" i="26" s="1"/>
  <c r="J24" i="25"/>
  <c r="O138" i="4"/>
  <c r="N151" i="4"/>
  <c r="K6" i="26" s="1"/>
  <c r="J26" i="25"/>
  <c r="K4" i="26"/>
  <c r="O75" i="4"/>
  <c r="L23" i="37" s="1"/>
  <c r="O73" i="4"/>
  <c r="L21" i="37" s="1"/>
  <c r="M14" i="31"/>
  <c r="P101" i="5"/>
  <c r="K9" i="25" l="1"/>
  <c r="O135" i="4"/>
  <c r="O130" i="4"/>
  <c r="L17" i="24"/>
  <c r="P96" i="4"/>
  <c r="P123" i="4" s="1"/>
  <c r="L4" i="25" s="1"/>
  <c r="O127" i="4"/>
  <c r="K8" i="25" s="1"/>
  <c r="S126" i="4"/>
  <c r="M7" i="25" s="1"/>
  <c r="K7" i="25"/>
  <c r="L18" i="24"/>
  <c r="P108" i="4"/>
  <c r="Q102" i="4"/>
  <c r="K9" i="24"/>
  <c r="O99" i="4"/>
  <c r="K10" i="24" s="1"/>
  <c r="O76" i="4"/>
  <c r="P103" i="5"/>
  <c r="P104" i="5" s="1"/>
  <c r="O79" i="4"/>
  <c r="L27" i="37" s="1"/>
  <c r="K19" i="25"/>
  <c r="O144" i="4"/>
  <c r="K25" i="25" s="1"/>
  <c r="N152" i="4"/>
  <c r="K7" i="26" s="1"/>
  <c r="L24" i="37" l="1"/>
  <c r="P109" i="4"/>
  <c r="L20" i="24" s="1"/>
  <c r="L19" i="24"/>
  <c r="K11" i="25"/>
  <c r="O131" i="4"/>
  <c r="K12" i="25" s="1"/>
  <c r="S130" i="4"/>
  <c r="M11" i="25" s="1"/>
  <c r="Q106" i="4"/>
  <c r="Q107" i="4" s="1"/>
  <c r="P97" i="4"/>
  <c r="L7" i="24"/>
  <c r="K16" i="25"/>
  <c r="O150" i="4"/>
  <c r="L5" i="26" s="1"/>
  <c r="O77" i="4"/>
  <c r="O142" i="4"/>
  <c r="O80" i="4"/>
  <c r="L28" i="37" s="1"/>
  <c r="P106" i="5"/>
  <c r="P105" i="5"/>
  <c r="Q101" i="5" s="1"/>
  <c r="P72" i="4" l="1"/>
  <c r="M20" i="37" s="1"/>
  <c r="L25" i="37"/>
  <c r="P98" i="4"/>
  <c r="P124" i="4"/>
  <c r="Q92" i="4"/>
  <c r="Q96" i="4" s="1"/>
  <c r="Q97" i="4" s="1"/>
  <c r="Q98" i="4" s="1"/>
  <c r="L8" i="24"/>
  <c r="Q108" i="4"/>
  <c r="Q109" i="4" s="1"/>
  <c r="R102" i="4"/>
  <c r="O149" i="4"/>
  <c r="Q103" i="5"/>
  <c r="R103" i="5" s="1"/>
  <c r="N12" i="31" s="1"/>
  <c r="R101" i="5"/>
  <c r="P75" i="4"/>
  <c r="M23" i="37" s="1"/>
  <c r="K23" i="25"/>
  <c r="O145" i="4"/>
  <c r="O143" i="4"/>
  <c r="P73" i="4" l="1"/>
  <c r="M21" i="37" s="1"/>
  <c r="R92" i="4"/>
  <c r="Q123" i="4"/>
  <c r="Q128" i="4"/>
  <c r="Q124" i="4"/>
  <c r="Q134" i="4" s="1"/>
  <c r="R106" i="4"/>
  <c r="R107" i="4" s="1"/>
  <c r="R108" i="4" s="1"/>
  <c r="S108" i="4" s="1"/>
  <c r="M19" i="24" s="1"/>
  <c r="P134" i="4"/>
  <c r="L15" i="25" s="1"/>
  <c r="L5" i="25"/>
  <c r="Q99" i="4"/>
  <c r="L9" i="24"/>
  <c r="P128" i="4"/>
  <c r="P99" i="4"/>
  <c r="L10" i="24" s="1"/>
  <c r="Q104" i="5"/>
  <c r="Q106" i="5" s="1"/>
  <c r="P138" i="4"/>
  <c r="K24" i="25"/>
  <c r="P76" i="4"/>
  <c r="L4" i="26"/>
  <c r="K26" i="25"/>
  <c r="O151" i="4"/>
  <c r="L6" i="26" s="1"/>
  <c r="P79" i="4"/>
  <c r="M27" i="37" s="1"/>
  <c r="M24" i="37" l="1"/>
  <c r="R96" i="4"/>
  <c r="R97" i="4" s="1"/>
  <c r="Q105" i="5"/>
  <c r="R105" i="5" s="1"/>
  <c r="R104" i="5"/>
  <c r="N13" i="31" s="1"/>
  <c r="Q135" i="4"/>
  <c r="Q150" i="4" s="1"/>
  <c r="P135" i="4"/>
  <c r="L9" i="25"/>
  <c r="R109" i="4"/>
  <c r="S109" i="4" s="1"/>
  <c r="M20" i="24" s="1"/>
  <c r="S106" i="4"/>
  <c r="M17" i="24" s="1"/>
  <c r="R98" i="4"/>
  <c r="R124" i="4"/>
  <c r="R123" i="4"/>
  <c r="S106" i="5"/>
  <c r="T106" i="5" s="1"/>
  <c r="O15" i="31" s="1"/>
  <c r="R106" i="5"/>
  <c r="N15" i="31" s="1"/>
  <c r="P80" i="4"/>
  <c r="M28" i="37" s="1"/>
  <c r="P142" i="4"/>
  <c r="S79" i="4"/>
  <c r="L19" i="25"/>
  <c r="P144" i="4"/>
  <c r="L25" i="25" s="1"/>
  <c r="O152" i="4"/>
  <c r="L7" i="26" s="1"/>
  <c r="P77" i="4"/>
  <c r="M25" i="37" s="1"/>
  <c r="R99" i="4" l="1"/>
  <c r="S99" i="4" s="1"/>
  <c r="M10" i="24" s="1"/>
  <c r="S96" i="4"/>
  <c r="M7" i="24" s="1"/>
  <c r="P150" i="4"/>
  <c r="M5" i="26" s="1"/>
  <c r="L16" i="25"/>
  <c r="S123" i="4"/>
  <c r="M4" i="25" s="1"/>
  <c r="R128" i="4"/>
  <c r="S128" i="4" s="1"/>
  <c r="M9" i="25" s="1"/>
  <c r="S98" i="4"/>
  <c r="M9" i="24" s="1"/>
  <c r="R134" i="4"/>
  <c r="S134" i="4" s="1"/>
  <c r="M15" i="25" s="1"/>
  <c r="S124" i="4"/>
  <c r="Q72" i="4"/>
  <c r="L23" i="25"/>
  <c r="P145" i="4"/>
  <c r="S142" i="4"/>
  <c r="M23" i="25" s="1"/>
  <c r="P149" i="4"/>
  <c r="S80" i="4"/>
  <c r="P143" i="4"/>
  <c r="Q75" i="4" l="1"/>
  <c r="N20" i="37"/>
  <c r="R135" i="4"/>
  <c r="L24" i="25"/>
  <c r="Q138" i="4"/>
  <c r="M4" i="26"/>
  <c r="S149" i="4"/>
  <c r="N4" i="26" s="1"/>
  <c r="T149" i="4"/>
  <c r="U149" i="4" s="1"/>
  <c r="O4" i="26" s="1"/>
  <c r="L26" i="25"/>
  <c r="P151" i="4"/>
  <c r="M6" i="26" s="1"/>
  <c r="Q77" i="4" l="1"/>
  <c r="N23" i="37"/>
  <c r="R150" i="4"/>
  <c r="S135" i="4"/>
  <c r="M16" i="25" s="1"/>
  <c r="Q143" i="4"/>
  <c r="R138" i="4" s="1"/>
  <c r="Q144" i="4"/>
  <c r="Q145" i="4" s="1"/>
  <c r="Q151" i="4" s="1"/>
  <c r="Q152" i="4" s="1"/>
  <c r="P152" i="4"/>
  <c r="M7" i="26" s="1"/>
  <c r="R72" i="4" l="1"/>
  <c r="N25" i="37"/>
  <c r="S150" i="4"/>
  <c r="N5" i="26" s="1"/>
  <c r="T150" i="4"/>
  <c r="U150" i="4" s="1"/>
  <c r="O5" i="26" s="1"/>
  <c r="R143" i="4"/>
  <c r="S143" i="4" s="1"/>
  <c r="R144" i="4"/>
  <c r="S138" i="4"/>
  <c r="R75" i="4" l="1"/>
  <c r="O20" i="37"/>
  <c r="R145" i="4"/>
  <c r="S144" i="4"/>
  <c r="M25" i="25" s="1"/>
  <c r="R77" i="4" l="1"/>
  <c r="O25" i="37" s="1"/>
  <c r="O23" i="37"/>
  <c r="R151" i="4"/>
  <c r="S145" i="4"/>
  <c r="M26" i="25" s="1"/>
  <c r="S151" i="4" l="1"/>
  <c r="N6" i="26" s="1"/>
  <c r="T151" i="4"/>
  <c r="U151" i="4" s="1"/>
  <c r="O6" i="26" s="1"/>
  <c r="R152" i="4"/>
  <c r="S152" i="4" l="1"/>
  <c r="N7" i="26" s="1"/>
  <c r="T152" i="4"/>
  <c r="U152" i="4" s="1"/>
  <c r="O7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H6" authorId="0" shapeId="0" xr:uid="{00000000-0006-0000-1A00-000001000000}">
      <text>
        <r>
          <rPr>
            <b/>
            <sz val="8"/>
            <color indexed="81"/>
            <rFont val="Tahoma"/>
            <family val="2"/>
          </rPr>
          <t xml:space="preserve">Ipotesi </t>
        </r>
        <r>
          <rPr>
            <b/>
            <i/>
            <sz val="8"/>
            <color indexed="81"/>
            <rFont val="Tahoma"/>
            <family val="2"/>
          </rPr>
          <t>yield</t>
        </r>
      </text>
    </comment>
    <comment ref="G8" authorId="0" shapeId="0" xr:uid="{00000000-0006-0000-1A00-000002000000}">
      <text>
        <r>
          <rPr>
            <sz val="8"/>
            <color indexed="81"/>
            <rFont val="Tahoma"/>
            <family val="2"/>
          </rPr>
          <t>Ipotesi incremento netto dei canoni</t>
        </r>
      </text>
    </comment>
    <comment ref="M49" authorId="0" shapeId="0" xr:uid="{00000000-0006-0000-1A00-000003000000}">
      <text>
        <r>
          <rPr>
            <sz val="8"/>
            <color indexed="81"/>
            <rFont val="Tahoma"/>
            <family val="2"/>
          </rPr>
          <t>ipotesi incidenza spese operative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H12" authorId="0" shapeId="0" xr:uid="{00000000-0006-0000-1B00-000001000000}">
      <text>
        <r>
          <rPr>
            <sz val="8"/>
            <color indexed="81"/>
            <rFont val="Tahoma"/>
            <family val="2"/>
          </rPr>
          <t>ipotesi redditività netta</t>
        </r>
      </text>
    </comment>
    <comment ref="I12" authorId="0" shapeId="0" xr:uid="{00000000-0006-0000-1B00-000002000000}">
      <text>
        <r>
          <rPr>
            <sz val="8"/>
            <color indexed="81"/>
            <rFont val="Tahoma"/>
            <family val="2"/>
          </rPr>
          <t>ipotesi incremento annuale netto del canone</t>
        </r>
      </text>
    </comment>
  </commentList>
</comments>
</file>

<file path=xl/sharedStrings.xml><?xml version="1.0" encoding="utf-8"?>
<sst xmlns="http://schemas.openxmlformats.org/spreadsheetml/2006/main" count="688" uniqueCount="405">
  <si>
    <t>LTV</t>
  </si>
  <si>
    <t>Erogazione</t>
  </si>
  <si>
    <t>IVA</t>
  </si>
  <si>
    <t>Flusso Linea Acquisizione</t>
  </si>
  <si>
    <t>Flusso Linea IVA</t>
  </si>
  <si>
    <t>Finanziamento IVA</t>
  </si>
  <si>
    <t>ICR</t>
  </si>
  <si>
    <t>Linea IVA</t>
  </si>
  <si>
    <t>Importo Massimo</t>
  </si>
  <si>
    <t>Linea Acquisizione</t>
  </si>
  <si>
    <t>% massima IVA</t>
  </si>
  <si>
    <t>Release Pricing</t>
  </si>
  <si>
    <t>Euribor 3 M</t>
  </si>
  <si>
    <t xml:space="preserve">Tasso </t>
  </si>
  <si>
    <t>Arrangement Fee</t>
  </si>
  <si>
    <t>Covenant</t>
  </si>
  <si>
    <t>FINANZIAMENTO</t>
  </si>
  <si>
    <t>Vincolo LTV</t>
  </si>
  <si>
    <t>Copertura</t>
  </si>
  <si>
    <t>Tasso Finale Linea IVA</t>
  </si>
  <si>
    <t>ACQUISIZIONE IMMOBILE</t>
  </si>
  <si>
    <t>Canone di Locazione Netto</t>
  </si>
  <si>
    <t>Arrangement fee</t>
  </si>
  <si>
    <t>Rimborso</t>
  </si>
  <si>
    <t>Interessi</t>
  </si>
  <si>
    <t xml:space="preserve">Margine </t>
  </si>
  <si>
    <t>minore</t>
  </si>
  <si>
    <t>maggiore</t>
  </si>
  <si>
    <t>Flusso Gestionale</t>
  </si>
  <si>
    <t>Flusso Immobiliare</t>
  </si>
  <si>
    <t>Tasso Finale Linea Acquisizione &gt;LTV</t>
  </si>
  <si>
    <t>Tasso Finale Linea Acquisizione &lt;LTV</t>
  </si>
  <si>
    <t>Posizione IVA</t>
  </si>
  <si>
    <t>Incremento Credito</t>
  </si>
  <si>
    <t>Riduzione Credito</t>
  </si>
  <si>
    <t>IVA Intermedio</t>
  </si>
  <si>
    <t>Flusso Operativo con IVA</t>
  </si>
  <si>
    <t>IVA Periodo</t>
  </si>
  <si>
    <t>Flusso IVA</t>
  </si>
  <si>
    <t>IVA Versata</t>
  </si>
  <si>
    <t>Flusso Azionista</t>
  </si>
  <si>
    <t xml:space="preserve">Investimento </t>
  </si>
  <si>
    <t>Disinvestimento</t>
  </si>
  <si>
    <t>Disinvestimento %</t>
  </si>
  <si>
    <t>Linea A1</t>
  </si>
  <si>
    <t>Linea A2</t>
  </si>
  <si>
    <t>Linea A3</t>
  </si>
  <si>
    <t>A1</t>
  </si>
  <si>
    <t>A2</t>
  </si>
  <si>
    <t>A3</t>
  </si>
  <si>
    <t xml:space="preserve">Linea </t>
  </si>
  <si>
    <t>Valore assoluto</t>
  </si>
  <si>
    <t>Valutazione</t>
  </si>
  <si>
    <t>Prezzo</t>
  </si>
  <si>
    <t>Portafoglio</t>
  </si>
  <si>
    <t>Immobile 1</t>
  </si>
  <si>
    <t>Immobile 2</t>
  </si>
  <si>
    <t>Immobile 3</t>
  </si>
  <si>
    <t>Immobile 4</t>
  </si>
  <si>
    <t>Immobile 5</t>
  </si>
  <si>
    <t>Importo erogato</t>
  </si>
  <si>
    <t>Differenza Linee precedenti</t>
  </si>
  <si>
    <t>LTV Test</t>
  </si>
  <si>
    <t>Commissioni di gestione annuale</t>
  </si>
  <si>
    <t>ICR Test</t>
  </si>
  <si>
    <t>Debito</t>
  </si>
  <si>
    <t>Test Totale Linea A</t>
  </si>
  <si>
    <t>Preliminare</t>
  </si>
  <si>
    <t>Preliminare %</t>
  </si>
  <si>
    <t xml:space="preserve">Acquisizione </t>
  </si>
  <si>
    <t>Canone</t>
  </si>
  <si>
    <t>Flusso Linea A1</t>
  </si>
  <si>
    <t>Flusso Linea A2</t>
  </si>
  <si>
    <t>Flusso Linea A3</t>
  </si>
  <si>
    <t>ALA</t>
  </si>
  <si>
    <t>% Valore</t>
  </si>
  <si>
    <t>Valore Portafoglio</t>
  </si>
  <si>
    <t>Dismissione  Immobile 1</t>
  </si>
  <si>
    <t>Dismissione  Immobile 2</t>
  </si>
  <si>
    <t>Dismissione  Immobile 3</t>
  </si>
  <si>
    <t>Dismissione  Immobile 4</t>
  </si>
  <si>
    <t>Dismissione  Immobile 5</t>
  </si>
  <si>
    <t>Canone Immobile 1</t>
  </si>
  <si>
    <t>Canone Immobile 2</t>
  </si>
  <si>
    <t>Canone Immobile 3</t>
  </si>
  <si>
    <t>Canone Immobile 4</t>
  </si>
  <si>
    <t>Canone Immobile 5</t>
  </si>
  <si>
    <t>Oneri Finanziari</t>
  </si>
  <si>
    <t>Tasso Finale annuale</t>
  </si>
  <si>
    <t>Mancato Utilizzo</t>
  </si>
  <si>
    <t>Commissione Mancato Ut.</t>
  </si>
  <si>
    <t>Release price</t>
  </si>
  <si>
    <t>Commissione Gestione</t>
  </si>
  <si>
    <t>Ratio</t>
  </si>
  <si>
    <t>CASH FLOW</t>
  </si>
  <si>
    <t>FLUSSI</t>
  </si>
  <si>
    <t>Commisisone mancato utilizzo Annuale</t>
  </si>
  <si>
    <t>Pagamento Acquisizione %</t>
  </si>
  <si>
    <t>Aquisizione Area</t>
  </si>
  <si>
    <t>Costi costruzione</t>
  </si>
  <si>
    <t>Rogito</t>
  </si>
  <si>
    <t>Rogito %</t>
  </si>
  <si>
    <t>Costruzione %</t>
  </si>
  <si>
    <t>Costruzione</t>
  </si>
  <si>
    <t xml:space="preserve">Costo </t>
  </si>
  <si>
    <t>Scadenza</t>
  </si>
  <si>
    <t>Covenant LTV</t>
  </si>
  <si>
    <t>Iva Acquisto</t>
  </si>
  <si>
    <t>Iva Vendita</t>
  </si>
  <si>
    <t>Iva Credito</t>
  </si>
  <si>
    <t>Iva Debito</t>
  </si>
  <si>
    <t>Rimborso Iva</t>
  </si>
  <si>
    <t>Interessi Costruzione</t>
  </si>
  <si>
    <t>Flusso Linea Costruzione</t>
  </si>
  <si>
    <t>Valore a costo di costruzione</t>
  </si>
  <si>
    <t>LTC 1</t>
  </si>
  <si>
    <t>Valore trasformazione</t>
  </si>
  <si>
    <t>Valore di mercato Medio</t>
  </si>
  <si>
    <t>LTC 2</t>
  </si>
  <si>
    <t>LTC 3</t>
  </si>
  <si>
    <t>Valore di mercato Medio ponderato costruzione</t>
  </si>
  <si>
    <t>Check</t>
  </si>
  <si>
    <t>Covenant ISCR</t>
  </si>
  <si>
    <t>Sintesi Flussi</t>
  </si>
  <si>
    <t>IRR</t>
  </si>
  <si>
    <t>Imposta sostitutiva</t>
  </si>
  <si>
    <t>Yield on Debt</t>
  </si>
  <si>
    <t>Commissioni e spese</t>
  </si>
  <si>
    <t>Commissioni e Spese</t>
  </si>
  <si>
    <t>Vincolo ICR (OF Max = Flusso/ICR)</t>
  </si>
  <si>
    <t>cap</t>
  </si>
  <si>
    <t>Linea</t>
  </si>
  <si>
    <t>Finanziamento ACQUISIZIONE</t>
  </si>
  <si>
    <t>Ipotesi valore mercato immobile</t>
  </si>
  <si>
    <t>Euribor 3 M (ipotesi massimo)</t>
  </si>
  <si>
    <t>Tasso annuale</t>
  </si>
  <si>
    <t xml:space="preserve">SINTESI FLUSSI </t>
  </si>
  <si>
    <t>Oneri finanziari</t>
  </si>
  <si>
    <t>Tasso trimestrale</t>
  </si>
  <si>
    <t>Covenant Test</t>
  </si>
  <si>
    <t>Flusso Investimento</t>
  </si>
  <si>
    <t>Timing</t>
  </si>
  <si>
    <t>Tasso Finale trimestrale</t>
  </si>
  <si>
    <t>Tassi</t>
  </si>
  <si>
    <t>Commisisone mancato utilizzo Trimestrale</t>
  </si>
  <si>
    <t>Linea Principale</t>
  </si>
  <si>
    <t>Versamento</t>
  </si>
  <si>
    <t>Prelievo</t>
  </si>
  <si>
    <t>Flusso Levered pre vincolo</t>
  </si>
  <si>
    <t>Flusso Levered Libero Azionista</t>
  </si>
  <si>
    <t>Credito IVA intermedio 2</t>
  </si>
  <si>
    <t>Credito IVA intermedio 1</t>
  </si>
  <si>
    <t>Valore di Mercato</t>
  </si>
  <si>
    <t>Prezzo di acquisto dell'immobile</t>
  </si>
  <si>
    <t>Canone di locazione annuale lordo</t>
  </si>
  <si>
    <t>Spese operative annuali</t>
  </si>
  <si>
    <t>Euribor 12 mesi (ipotesi di analisi cap)</t>
  </si>
  <si>
    <t>Euribor 12 M</t>
  </si>
  <si>
    <t>Euribor 12 mesi (tasso di mercato al momento dell'erogazione)</t>
  </si>
  <si>
    <t>Costo copertura Cap</t>
  </si>
  <si>
    <t>Fideiussioni</t>
  </si>
  <si>
    <t>Flusso Linea Fideiussioni</t>
  </si>
  <si>
    <t>Finanziamento Iniziale</t>
  </si>
  <si>
    <t>Finanziamento Finale</t>
  </si>
  <si>
    <t>Cash Flow</t>
  </si>
  <si>
    <t>Credito IVA Iniziale</t>
  </si>
  <si>
    <t>Credito IVA Finale</t>
  </si>
  <si>
    <t>Acquisizione Area %</t>
  </si>
  <si>
    <t>Acquisizione Area</t>
  </si>
  <si>
    <t>Conto vincolato Iniziale</t>
  </si>
  <si>
    <t>Conto vincolato Finale</t>
  </si>
  <si>
    <t>Fideiussioni Iniziale</t>
  </si>
  <si>
    <t>Valore Portafoglio Finale</t>
  </si>
  <si>
    <t>Fideiussioni Finale</t>
  </si>
  <si>
    <t>Importo finanziato</t>
  </si>
  <si>
    <t>Vincolo LTV %</t>
  </si>
  <si>
    <t>Vincolo LTC %</t>
  </si>
  <si>
    <t>Vincolo LTC</t>
  </si>
  <si>
    <t>Interessi Completato</t>
  </si>
  <si>
    <t>Interessi Totale</t>
  </si>
  <si>
    <t>IPOTESI DISMISSIONE</t>
  </si>
  <si>
    <t>Cap</t>
  </si>
  <si>
    <t>Min</t>
  </si>
  <si>
    <t>Tab. 5.4</t>
  </si>
  <si>
    <t>Tab. 5.1</t>
  </si>
  <si>
    <t>Tab. 5.3</t>
  </si>
  <si>
    <t>Tab. 5.2</t>
  </si>
  <si>
    <t>Tab. 5.5</t>
  </si>
  <si>
    <t>Tab. 5.6</t>
  </si>
  <si>
    <t>V1</t>
  </si>
  <si>
    <t>V2</t>
  </si>
  <si>
    <t>Years</t>
  </si>
  <si>
    <t>Loan Tax</t>
  </si>
  <si>
    <t>Interest rate</t>
  </si>
  <si>
    <t>Spread</t>
  </si>
  <si>
    <t>min</t>
  </si>
  <si>
    <t>max</t>
  </si>
  <si>
    <t>Hedginf</t>
  </si>
  <si>
    <t>Cost for Cap</t>
  </si>
  <si>
    <t>Financing line</t>
  </si>
  <si>
    <t>Int. Rate Acq. Line &lt;LTV</t>
  </si>
  <si>
    <t>Int. Rate Acq. Line &gt;LTV</t>
  </si>
  <si>
    <t xml:space="preserve">Int. Rate VAT Line </t>
  </si>
  <si>
    <t>Property Acquisition</t>
  </si>
  <si>
    <t>Price</t>
  </si>
  <si>
    <t>Rent</t>
  </si>
  <si>
    <t>Gross Rent</t>
  </si>
  <si>
    <t>VAT</t>
  </si>
  <si>
    <t>Rent yearly increase</t>
  </si>
  <si>
    <t>Financing</t>
  </si>
  <si>
    <t>Max Amount</t>
  </si>
  <si>
    <t>LTV Constraint</t>
  </si>
  <si>
    <t>ICR Constraint (Max interest = CF/ICR)</t>
  </si>
  <si>
    <t>Acquisition Financing</t>
  </si>
  <si>
    <t>Max amount</t>
  </si>
  <si>
    <t>% max VAT</t>
  </si>
  <si>
    <t>VAT Financing</t>
  </si>
  <si>
    <t>Cash Flows</t>
  </si>
  <si>
    <t>Property market value</t>
  </si>
  <si>
    <t>Gross rent per year</t>
  </si>
  <si>
    <t>Operating expenses</t>
  </si>
  <si>
    <t>Operating cash flows</t>
  </si>
  <si>
    <t>Investment</t>
  </si>
  <si>
    <t>Divestment %</t>
  </si>
  <si>
    <t>Divestment</t>
  </si>
  <si>
    <t>Property cash flows</t>
  </si>
  <si>
    <t>VAT Paid</t>
  </si>
  <si>
    <t>Credit increase</t>
  </si>
  <si>
    <t xml:space="preserve">Intermediate VAT Credit </t>
  </si>
  <si>
    <t>Credit Reduction</t>
  </si>
  <si>
    <t>Final VAT Credit</t>
  </si>
  <si>
    <t>Operating cash flows (VAT)</t>
  </si>
  <si>
    <t>Acquisition fin. Line</t>
  </si>
  <si>
    <t>Initial debt</t>
  </si>
  <si>
    <t>Drawdown</t>
  </si>
  <si>
    <t>Financing tax</t>
  </si>
  <si>
    <t>Final Debt</t>
  </si>
  <si>
    <t>Interest paid</t>
  </si>
  <si>
    <t>VAT Fin. Line</t>
  </si>
  <si>
    <t>CF Acq. Line</t>
  </si>
  <si>
    <t>CF VAT Line</t>
  </si>
  <si>
    <t>CASH FLOWS SUMMARY</t>
  </si>
  <si>
    <t>FCFE</t>
  </si>
  <si>
    <t>Tab. 5.7 &amp; 5.11</t>
  </si>
  <si>
    <t>Tab. 5.10</t>
  </si>
  <si>
    <t>Tab. 5.13</t>
  </si>
  <si>
    <t>Tab. 5.8</t>
  </si>
  <si>
    <t>Tab. 5.9</t>
  </si>
  <si>
    <t>Tab. 5.12</t>
  </si>
  <si>
    <t>Tab. 5.14</t>
  </si>
  <si>
    <t>Tab. 5.15</t>
  </si>
  <si>
    <t>Tab. 5.16</t>
  </si>
  <si>
    <t>Appraisal</t>
  </si>
  <si>
    <t>Net rent</t>
  </si>
  <si>
    <t>% Value</t>
  </si>
  <si>
    <t>Property 1</t>
  </si>
  <si>
    <t>Property 2</t>
  </si>
  <si>
    <t>Property 3</t>
  </si>
  <si>
    <t>Property 4</t>
  </si>
  <si>
    <t>Property 5</t>
  </si>
  <si>
    <t>Acquisition</t>
  </si>
  <si>
    <t>ACQUISIZIONE PORTAFOGLIO</t>
  </si>
  <si>
    <t>Portfolio</t>
  </si>
  <si>
    <t>Line</t>
  </si>
  <si>
    <t>Value</t>
  </si>
  <si>
    <t>Constraint LTV %</t>
  </si>
  <si>
    <t>Constraint LTV</t>
  </si>
  <si>
    <t>Constraint LTC %</t>
  </si>
  <si>
    <t>Constraint LTC</t>
  </si>
  <si>
    <t>Difference with prev. Lines</t>
  </si>
  <si>
    <t>Interest</t>
  </si>
  <si>
    <t>Euribor 3 M (max)</t>
  </si>
  <si>
    <t>yearly int. Rate</t>
  </si>
  <si>
    <t>quarterly int. Rate</t>
  </si>
  <si>
    <t>Initial annual interest</t>
  </si>
  <si>
    <t>Fees &amp; expenses</t>
  </si>
  <si>
    <t>Annual fee</t>
  </si>
  <si>
    <t>Tax on Loan</t>
  </si>
  <si>
    <t>Test Line A</t>
  </si>
  <si>
    <t>Sales</t>
  </si>
  <si>
    <t>Portfolio Value</t>
  </si>
  <si>
    <t>Aquisition payment</t>
  </si>
  <si>
    <t>Property disposal 1</t>
  </si>
  <si>
    <t>Property disposal 2</t>
  </si>
  <si>
    <t>Property disposal 3</t>
  </si>
  <si>
    <t>Property disposal 4</t>
  </si>
  <si>
    <t>Property disposal 5</t>
  </si>
  <si>
    <t>Rent property 1</t>
  </si>
  <si>
    <t>Rent property 2</t>
  </si>
  <si>
    <t>Rent property 3</t>
  </si>
  <si>
    <t>Rent property 4</t>
  </si>
  <si>
    <t>Rent property 5</t>
  </si>
  <si>
    <t>Vat (period balance)</t>
  </si>
  <si>
    <t>Initial VAT Credit</t>
  </si>
  <si>
    <t>VAT CF</t>
  </si>
  <si>
    <t>Operating CF (VAT)</t>
  </si>
  <si>
    <t>Line A1</t>
  </si>
  <si>
    <t>Line A1 CF</t>
  </si>
  <si>
    <t>Line A2</t>
  </si>
  <si>
    <t>Line A2 CF</t>
  </si>
  <si>
    <t>Line A3</t>
  </si>
  <si>
    <t>Line A3 CF</t>
  </si>
  <si>
    <t>Annual Fee</t>
  </si>
  <si>
    <t>Acquisition Line CF</t>
  </si>
  <si>
    <t>Loan tax</t>
  </si>
  <si>
    <t>Upfront cap cost</t>
  </si>
  <si>
    <t>VAT Line</t>
  </si>
  <si>
    <t>VAT Line CF</t>
  </si>
  <si>
    <t>CF SUMMARY</t>
  </si>
  <si>
    <t>Real Estate CF</t>
  </si>
  <si>
    <t>Investment CF</t>
  </si>
  <si>
    <t>Cosntruction Costs</t>
  </si>
  <si>
    <t>Market Value</t>
  </si>
  <si>
    <t>Land price</t>
  </si>
  <si>
    <t>VAT on Costs</t>
  </si>
  <si>
    <t>VAT on Sales</t>
  </si>
  <si>
    <t>Area %</t>
  </si>
  <si>
    <t>Construction%</t>
  </si>
  <si>
    <t>Preliminary Contract  %</t>
  </si>
  <si>
    <t>Notary's Deed%</t>
  </si>
  <si>
    <t>Area</t>
  </si>
  <si>
    <t>Construction</t>
  </si>
  <si>
    <t xml:space="preserve">Preliminary Contract  </t>
  </si>
  <si>
    <t>Notary's Deed</t>
  </si>
  <si>
    <t>RE Cash Flow</t>
  </si>
  <si>
    <t>VAT Credit</t>
  </si>
  <si>
    <t>VAT Debt</t>
  </si>
  <si>
    <t>VAT Period Balance</t>
  </si>
  <si>
    <t>Credit Increase</t>
  </si>
  <si>
    <t>Intermediat VAT  Credit 1</t>
  </si>
  <si>
    <t>Intermediat VAT  Credit 2</t>
  </si>
  <si>
    <t>VAT Cash Flow</t>
  </si>
  <si>
    <t>Operating Cash Flow (VAT)</t>
  </si>
  <si>
    <t>LTV %</t>
  </si>
  <si>
    <t>LTC %</t>
  </si>
  <si>
    <t>Financed Amount</t>
  </si>
  <si>
    <t>Interest rates</t>
  </si>
  <si>
    <t>Interest rate (yearly)</t>
  </si>
  <si>
    <t>Interest rate (quarterly)</t>
  </si>
  <si>
    <t>Fees &amp; Costs</t>
  </si>
  <si>
    <t>Commitment Fee (yearly)</t>
  </si>
  <si>
    <t>Commitment Fee  (quarterly)</t>
  </si>
  <si>
    <t>Construction Line</t>
  </si>
  <si>
    <t>Initial Debt</t>
  </si>
  <si>
    <t>interest Construction</t>
  </si>
  <si>
    <t>Total Interest</t>
  </si>
  <si>
    <t>Commited capital not used</t>
  </si>
  <si>
    <t>Commitment fee</t>
  </si>
  <si>
    <t>CF Line</t>
  </si>
  <si>
    <t>CF Line A1</t>
  </si>
  <si>
    <t xml:space="preserve">interest </t>
  </si>
  <si>
    <t xml:space="preserve">CF VAT Line </t>
  </si>
  <si>
    <t xml:space="preserve">Bank guarantee </t>
  </si>
  <si>
    <t>New Guarantee</t>
  </si>
  <si>
    <t>Expiry</t>
  </si>
  <si>
    <t>Final guarantee amount</t>
  </si>
  <si>
    <t>Initial  guaranteeamount</t>
  </si>
  <si>
    <t>Cost</t>
  </si>
  <si>
    <t xml:space="preserve">CF Construction Line </t>
  </si>
  <si>
    <t xml:space="preserve">CF Bank Guarantee Line </t>
  </si>
  <si>
    <t>Levered CF pre constraints</t>
  </si>
  <si>
    <t>Initial Escrow Account</t>
  </si>
  <si>
    <t>Increase</t>
  </si>
  <si>
    <t>Final Escrow Account</t>
  </si>
  <si>
    <t>Levered CF to Equity</t>
  </si>
  <si>
    <t>Debt</t>
  </si>
  <si>
    <t>Average Market Value</t>
  </si>
  <si>
    <t xml:space="preserve">interest Built </t>
  </si>
  <si>
    <t>Tot</t>
  </si>
  <si>
    <t>IRR Q</t>
  </si>
  <si>
    <t>IRR Y</t>
  </si>
  <si>
    <t xml:space="preserve"> </t>
  </si>
  <si>
    <t>Euribor 12 months (current rate)</t>
  </si>
  <si>
    <t>Euribor 12 months (assumption)</t>
  </si>
  <si>
    <t>Reimbursement</t>
  </si>
  <si>
    <t>VAT Reimbursement</t>
  </si>
  <si>
    <t>Cash flows</t>
  </si>
  <si>
    <t>Upfront cap Cost</t>
  </si>
  <si>
    <t>Committed amount</t>
  </si>
  <si>
    <t>Net Vat Flow</t>
  </si>
  <si>
    <t>Rimborso IVA</t>
  </si>
  <si>
    <t>VAT Credit of the period</t>
  </si>
  <si>
    <t xml:space="preserve">IVA a credito nel periodo </t>
  </si>
  <si>
    <r>
      <t xml:space="preserve">Costo </t>
    </r>
    <r>
      <rPr>
        <i/>
        <sz val="11"/>
        <color rgb="FF0070C0"/>
        <rFont val="Calibri"/>
        <family val="2"/>
        <scheme val="minor"/>
      </rPr>
      <t xml:space="preserve">Upfront </t>
    </r>
    <r>
      <rPr>
        <sz val="11"/>
        <color rgb="FF0070C0"/>
        <rFont val="Calibri"/>
        <family val="2"/>
        <scheme val="minor"/>
      </rPr>
      <t xml:space="preserve">copertura </t>
    </r>
    <r>
      <rPr>
        <i/>
        <sz val="11"/>
        <color rgb="FF0070C0"/>
        <rFont val="Calibri"/>
        <family val="2"/>
        <scheme val="minor"/>
      </rPr>
      <t>cap</t>
    </r>
  </si>
  <si>
    <t>Aspettativa incremento annuale del canone</t>
  </si>
  <si>
    <t>VM Portafoglio</t>
  </si>
  <si>
    <t>Sintesi Linea A Acquisizione</t>
  </si>
  <si>
    <t>Acq. Line A - Summary</t>
  </si>
  <si>
    <t>Flusso Linea A Acquisizione</t>
  </si>
  <si>
    <t>Linea B IVA</t>
  </si>
  <si>
    <t>Flusso Linea B IVA</t>
  </si>
  <si>
    <t>Flusso Linea A - Acquisizione</t>
  </si>
  <si>
    <t>Flusso Linea B - IVA</t>
  </si>
  <si>
    <t>Flusso Levered</t>
  </si>
  <si>
    <t>Interessi annuali (importo iniziale)</t>
  </si>
  <si>
    <t>Tot.</t>
  </si>
  <si>
    <t>Foglio elettronico con tabelle tratte dal libro</t>
  </si>
  <si>
    <t>Strumenti e Tecniche di Finanziamento Immobiliare</t>
  </si>
  <si>
    <t>Giacomo Morri, Antonio Mazza - EGEA 2024</t>
  </si>
  <si>
    <t>Per ulteriore materiale didattico, link e bibliografia:</t>
  </si>
  <si>
    <t xml:space="preserve">www.propertyfinance.it </t>
  </si>
  <si>
    <t>Da utilizzare solo a fini didattici.</t>
  </si>
  <si>
    <t>Vietato ogni utilizzo professionale.</t>
  </si>
  <si>
    <t>Capitolo 11</t>
  </si>
  <si>
    <t xml:space="preserve">	L’analisi di Term-Sheet di finanziamenti immobiliari strutturati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</si>
</sst>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#,##0\ &quot;€&quot;;\-#,##0\ &quot;€&quot;"/>
    <numFmt numFmtId="43" formatCode="_-* #,##0.00_-;\-* #,##0.00_-;_-* &quot;-&quot;??_-;_-@_-"/>
    <numFmt numFmtId="164" formatCode="#,##0_ ;\-#,##0\ "/>
    <numFmt numFmtId="165" formatCode="#,##0.0_ ;\-#,##0.0\ "/>
    <numFmt numFmtId="166" formatCode="#,##0.00_ ;\-#,##0.00\ "/>
    <numFmt numFmtId="167" formatCode="0.0%"/>
    <numFmt numFmtId="168" formatCode="0.000%"/>
    <numFmt numFmtId="169" formatCode="_-* #,##0_-;\-* #,##0_-;_-* &quot;-&quot;??_-;_-@_-"/>
  </numFmts>
  <fonts count="43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7"/>
      <color indexed="8"/>
      <name val="Times New Roman"/>
      <family val="1"/>
    </font>
    <font>
      <sz val="7"/>
      <color indexed="56"/>
      <name val="Times New Roman"/>
      <family val="1"/>
    </font>
    <font>
      <b/>
      <sz val="7"/>
      <color indexed="56"/>
      <name val="Times New Roman"/>
      <family val="1"/>
    </font>
    <font>
      <b/>
      <sz val="7"/>
      <color indexed="8"/>
      <name val="Times New Roman"/>
      <family val="1"/>
    </font>
    <font>
      <i/>
      <sz val="7"/>
      <color indexed="8"/>
      <name val="Times New Roman"/>
      <family val="1"/>
    </font>
    <font>
      <i/>
      <sz val="7"/>
      <color indexed="56"/>
      <name val="Times New Roman"/>
      <family val="1"/>
    </font>
    <font>
      <sz val="7"/>
      <name val="Times New Roman"/>
      <family val="1"/>
    </font>
    <font>
      <b/>
      <i/>
      <sz val="7"/>
      <color indexed="8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i/>
      <sz val="8"/>
      <color indexed="81"/>
      <name val="Tahoma"/>
      <family val="2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sz val="11"/>
      <name val="Times New Roman"/>
      <family val="1"/>
    </font>
    <font>
      <sz val="8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56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10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i/>
      <sz val="11"/>
      <color indexed="10"/>
      <name val="Calibri"/>
      <family val="2"/>
      <scheme val="minor"/>
    </font>
    <font>
      <i/>
      <sz val="11"/>
      <color indexed="8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indexed="56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7"/>
      <color rgb="FF0070C0"/>
      <name val="Times New Roman"/>
      <family val="1"/>
    </font>
    <font>
      <b/>
      <sz val="7"/>
      <color rgb="FF0070C0"/>
      <name val="Times New Roman"/>
      <family val="1"/>
    </font>
    <font>
      <i/>
      <sz val="7"/>
      <color rgb="FF0070C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41" fillId="0" borderId="0"/>
    <xf numFmtId="0" fontId="42" fillId="0" borderId="0" applyNumberFormat="0" applyFill="0" applyBorder="0" applyAlignment="0" applyProtection="0"/>
  </cellStyleXfs>
  <cellXfs count="258">
    <xf numFmtId="0" fontId="0" fillId="0" borderId="0" xfId="0"/>
    <xf numFmtId="164" fontId="3" fillId="0" borderId="0" xfId="0" applyNumberFormat="1" applyFont="1"/>
    <xf numFmtId="164" fontId="4" fillId="0" borderId="0" xfId="0" applyNumberFormat="1" applyFont="1"/>
    <xf numFmtId="10" fontId="4" fillId="0" borderId="0" xfId="2" applyNumberFormat="1" applyFont="1"/>
    <xf numFmtId="164" fontId="5" fillId="0" borderId="0" xfId="0" applyNumberFormat="1" applyFont="1"/>
    <xf numFmtId="164" fontId="6" fillId="0" borderId="0" xfId="0" applyNumberFormat="1" applyFont="1"/>
    <xf numFmtId="164" fontId="7" fillId="0" borderId="0" xfId="0" applyNumberFormat="1" applyFont="1"/>
    <xf numFmtId="9" fontId="3" fillId="0" borderId="0" xfId="2" applyFont="1"/>
    <xf numFmtId="10" fontId="3" fillId="0" borderId="0" xfId="2" applyNumberFormat="1" applyFont="1"/>
    <xf numFmtId="9" fontId="4" fillId="0" borderId="0" xfId="2" applyFont="1"/>
    <xf numFmtId="10" fontId="4" fillId="0" borderId="0" xfId="2" applyNumberFormat="1" applyFont="1" applyFill="1"/>
    <xf numFmtId="10" fontId="9" fillId="0" borderId="0" xfId="2" applyNumberFormat="1" applyFont="1"/>
    <xf numFmtId="164" fontId="10" fillId="0" borderId="0" xfId="0" applyNumberFormat="1" applyFont="1"/>
    <xf numFmtId="10" fontId="7" fillId="0" borderId="0" xfId="2" applyNumberFormat="1" applyFont="1"/>
    <xf numFmtId="164" fontId="3" fillId="3" borderId="0" xfId="0" applyNumberFormat="1" applyFont="1" applyFill="1"/>
    <xf numFmtId="10" fontId="6" fillId="0" borderId="0" xfId="2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0" fontId="14" fillId="0" borderId="0" xfId="0" applyFont="1"/>
    <xf numFmtId="164" fontId="14" fillId="0" borderId="0" xfId="0" applyNumberFormat="1" applyFont="1"/>
    <xf numFmtId="9" fontId="15" fillId="0" borderId="0" xfId="2" applyFont="1" applyFill="1"/>
    <xf numFmtId="0" fontId="15" fillId="0" borderId="0" xfId="0" applyFont="1" applyAlignment="1">
      <alignment horizontal="center"/>
    </xf>
    <xf numFmtId="9" fontId="14" fillId="0" borderId="0" xfId="0" applyNumberFormat="1" applyFont="1"/>
    <xf numFmtId="9" fontId="14" fillId="0" borderId="0" xfId="2" applyFont="1" applyFill="1"/>
    <xf numFmtId="10" fontId="15" fillId="0" borderId="0" xfId="2" applyNumberFormat="1" applyFont="1" applyFill="1"/>
    <xf numFmtId="164" fontId="16" fillId="0" borderId="0" xfId="0" applyNumberFormat="1" applyFont="1"/>
    <xf numFmtId="164" fontId="17" fillId="0" borderId="0" xfId="0" applyNumberFormat="1" applyFont="1"/>
    <xf numFmtId="164" fontId="15" fillId="0" borderId="0" xfId="0" applyNumberFormat="1" applyFont="1"/>
    <xf numFmtId="10" fontId="17" fillId="0" borderId="0" xfId="2" applyNumberFormat="1" applyFont="1" applyFill="1"/>
    <xf numFmtId="9" fontId="16" fillId="0" borderId="0" xfId="2" applyFont="1" applyFill="1"/>
    <xf numFmtId="166" fontId="14" fillId="0" borderId="0" xfId="0" applyNumberFormat="1" applyFont="1"/>
    <xf numFmtId="168" fontId="14" fillId="0" borderId="0" xfId="2" applyNumberFormat="1" applyFont="1" applyFill="1"/>
    <xf numFmtId="167" fontId="14" fillId="0" borderId="0" xfId="2" applyNumberFormat="1" applyFont="1" applyFill="1"/>
    <xf numFmtId="167" fontId="14" fillId="0" borderId="0" xfId="2" applyNumberFormat="1" applyFont="1" applyFill="1" applyAlignment="1">
      <alignment horizontal="right"/>
    </xf>
    <xf numFmtId="164" fontId="16" fillId="0" borderId="1" xfId="0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9" fontId="15" fillId="0" borderId="0" xfId="2" applyFont="1" applyFill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7" fontId="14" fillId="0" borderId="0" xfId="2" applyNumberFormat="1" applyFont="1" applyFill="1" applyAlignment="1">
      <alignment horizontal="center" vertical="center"/>
    </xf>
    <xf numFmtId="9" fontId="14" fillId="0" borderId="0" xfId="2" applyFont="1" applyFill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4" fontId="16" fillId="0" borderId="1" xfId="0" applyNumberFormat="1" applyFont="1" applyBorder="1" applyAlignment="1">
      <alignment horizontal="left" vertical="center"/>
    </xf>
    <xf numFmtId="164" fontId="16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164" fontId="14" fillId="0" borderId="2" xfId="0" applyNumberFormat="1" applyFont="1" applyBorder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164" fontId="16" fillId="0" borderId="2" xfId="0" applyNumberFormat="1" applyFont="1" applyBorder="1" applyAlignment="1">
      <alignment horizontal="left" vertical="center"/>
    </xf>
    <xf numFmtId="10" fontId="15" fillId="0" borderId="0" xfId="2" applyNumberFormat="1" applyFont="1" applyFill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9" fontId="15" fillId="0" borderId="2" xfId="2" applyFont="1" applyFill="1" applyBorder="1" applyAlignment="1">
      <alignment horizontal="center" vertical="center"/>
    </xf>
    <xf numFmtId="10" fontId="14" fillId="0" borderId="0" xfId="2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9" fontId="14" fillId="0" borderId="1" xfId="2" applyFont="1" applyFill="1" applyBorder="1" applyAlignment="1">
      <alignment horizontal="center" vertical="center"/>
    </xf>
    <xf numFmtId="10" fontId="16" fillId="0" borderId="1" xfId="2" applyNumberFormat="1" applyFont="1" applyFill="1" applyBorder="1" applyAlignment="1">
      <alignment horizontal="left" vertical="center"/>
    </xf>
    <xf numFmtId="10" fontId="16" fillId="0" borderId="1" xfId="2" applyNumberFormat="1" applyFont="1" applyFill="1" applyBorder="1" applyAlignment="1">
      <alignment horizontal="center" vertical="center"/>
    </xf>
    <xf numFmtId="10" fontId="17" fillId="0" borderId="0" xfId="2" applyNumberFormat="1" applyFont="1" applyFill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167" fontId="15" fillId="0" borderId="0" xfId="2" applyNumberFormat="1" applyFont="1" applyFill="1" applyAlignment="1">
      <alignment horizontal="center" vertical="center"/>
    </xf>
    <xf numFmtId="9" fontId="16" fillId="0" borderId="1" xfId="2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9" fontId="16" fillId="0" borderId="1" xfId="2" applyFont="1" applyBorder="1" applyAlignment="1">
      <alignment horizontal="center" vertical="center" wrapText="1"/>
    </xf>
    <xf numFmtId="9" fontId="14" fillId="0" borderId="0" xfId="2" applyFont="1" applyAlignment="1">
      <alignment horizontal="center" vertical="center"/>
    </xf>
    <xf numFmtId="164" fontId="16" fillId="0" borderId="1" xfId="0" applyNumberFormat="1" applyFont="1" applyBorder="1" applyAlignment="1">
      <alignment horizontal="left" vertical="center" wrapText="1"/>
    </xf>
    <xf numFmtId="169" fontId="14" fillId="0" borderId="0" xfId="1" applyNumberFormat="1" applyFont="1" applyAlignment="1">
      <alignment horizontal="center" vertical="center"/>
    </xf>
    <xf numFmtId="169" fontId="14" fillId="0" borderId="2" xfId="1" applyNumberFormat="1" applyFont="1" applyBorder="1" applyAlignment="1">
      <alignment horizontal="center" vertical="center"/>
    </xf>
    <xf numFmtId="9" fontId="16" fillId="0" borderId="0" xfId="2" applyFont="1" applyAlignment="1">
      <alignment horizontal="center" vertical="center"/>
    </xf>
    <xf numFmtId="9" fontId="16" fillId="0" borderId="1" xfId="2" applyFont="1" applyBorder="1" applyAlignment="1">
      <alignment horizontal="left" vertical="center" wrapText="1"/>
    </xf>
    <xf numFmtId="9" fontId="14" fillId="0" borderId="2" xfId="2" applyFont="1" applyBorder="1" applyAlignment="1">
      <alignment horizontal="center" vertical="center"/>
    </xf>
    <xf numFmtId="9" fontId="17" fillId="0" borderId="1" xfId="2" applyFont="1" applyBorder="1" applyAlignment="1">
      <alignment horizontal="center" vertical="center" wrapText="1"/>
    </xf>
    <xf numFmtId="164" fontId="14" fillId="4" borderId="0" xfId="0" applyNumberFormat="1" applyFont="1" applyFill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164" fontId="16" fillId="0" borderId="3" xfId="0" applyNumberFormat="1" applyFont="1" applyBorder="1" applyAlignment="1">
      <alignment horizontal="left" vertical="center"/>
    </xf>
    <xf numFmtId="9" fontId="16" fillId="0" borderId="4" xfId="2" applyFont="1" applyBorder="1" applyAlignment="1">
      <alignment horizontal="center" vertical="center"/>
    </xf>
    <xf numFmtId="167" fontId="14" fillId="0" borderId="5" xfId="2" applyNumberFormat="1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left" vertical="center"/>
    </xf>
    <xf numFmtId="9" fontId="17" fillId="0" borderId="2" xfId="2" applyFont="1" applyBorder="1" applyAlignment="1">
      <alignment horizontal="center" vertical="center"/>
    </xf>
    <xf numFmtId="167" fontId="15" fillId="0" borderId="7" xfId="2" applyNumberFormat="1" applyFont="1" applyBorder="1" applyAlignment="1">
      <alignment horizontal="center" vertical="center"/>
    </xf>
    <xf numFmtId="10" fontId="14" fillId="0" borderId="0" xfId="2" applyNumberFormat="1" applyFont="1" applyAlignment="1">
      <alignment horizontal="center" vertical="center"/>
    </xf>
    <xf numFmtId="10" fontId="14" fillId="0" borderId="2" xfId="2" applyNumberFormat="1" applyFont="1" applyBorder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/>
    </xf>
    <xf numFmtId="164" fontId="17" fillId="0" borderId="0" xfId="0" applyNumberFormat="1" applyFont="1" applyAlignment="1">
      <alignment horizontal="left" vertical="center"/>
    </xf>
    <xf numFmtId="10" fontId="16" fillId="0" borderId="0" xfId="2" applyNumberFormat="1" applyFont="1" applyFill="1" applyAlignment="1">
      <alignment horizontal="center" vertical="center"/>
    </xf>
    <xf numFmtId="10" fontId="16" fillId="0" borderId="2" xfId="2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10" fontId="15" fillId="0" borderId="2" xfId="2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left" vertical="center"/>
    </xf>
    <xf numFmtId="10" fontId="16" fillId="0" borderId="0" xfId="2" applyNumberFormat="1" applyFont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10" fontId="21" fillId="0" borderId="0" xfId="2" applyNumberFormat="1" applyFont="1" applyFill="1" applyAlignment="1">
      <alignment horizontal="center" vertical="center"/>
    </xf>
    <xf numFmtId="164" fontId="22" fillId="0" borderId="0" xfId="0" applyNumberFormat="1" applyFont="1"/>
    <xf numFmtId="164" fontId="22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164" fontId="20" fillId="0" borderId="0" xfId="0" applyNumberFormat="1" applyFont="1"/>
    <xf numFmtId="164" fontId="20" fillId="0" borderId="0" xfId="0" applyNumberFormat="1" applyFont="1" applyAlignment="1">
      <alignment horizontal="center" vertical="center"/>
    </xf>
    <xf numFmtId="9" fontId="21" fillId="0" borderId="0" xfId="2" applyFont="1" applyFill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0" fontId="20" fillId="0" borderId="0" xfId="2" applyNumberFormat="1" applyFont="1" applyFill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10" fontId="25" fillId="0" borderId="0" xfId="2" applyNumberFormat="1" applyFont="1" applyFill="1" applyAlignment="1">
      <alignment horizontal="center" vertical="center"/>
    </xf>
    <xf numFmtId="10" fontId="26" fillId="0" borderId="0" xfId="2" applyNumberFormat="1" applyFont="1" applyFill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9" fontId="25" fillId="0" borderId="0" xfId="2" applyFont="1" applyFill="1" applyAlignment="1">
      <alignment horizontal="center" vertical="center"/>
    </xf>
    <xf numFmtId="10" fontId="24" fillId="0" borderId="0" xfId="2" applyNumberFormat="1" applyFont="1" applyFill="1" applyAlignment="1">
      <alignment horizontal="center" vertical="center"/>
    </xf>
    <xf numFmtId="10" fontId="27" fillId="0" borderId="0" xfId="2" applyNumberFormat="1" applyFont="1" applyFill="1" applyAlignment="1">
      <alignment horizontal="center" vertical="center"/>
    </xf>
    <xf numFmtId="164" fontId="27" fillId="0" borderId="0" xfId="0" applyNumberFormat="1" applyFont="1"/>
    <xf numFmtId="164" fontId="27" fillId="0" borderId="0" xfId="0" applyNumberFormat="1" applyFont="1" applyAlignment="1">
      <alignment horizontal="center" vertical="center"/>
    </xf>
    <xf numFmtId="9" fontId="27" fillId="0" borderId="0" xfId="2" applyFont="1" applyFill="1" applyAlignment="1">
      <alignment horizontal="center" vertical="center"/>
    </xf>
    <xf numFmtId="168" fontId="22" fillId="0" borderId="0" xfId="2" applyNumberFormat="1" applyFont="1" applyFill="1" applyAlignment="1">
      <alignment horizontal="center" vertical="center"/>
    </xf>
    <xf numFmtId="166" fontId="22" fillId="0" borderId="0" xfId="0" applyNumberFormat="1" applyFont="1" applyAlignment="1">
      <alignment horizontal="center" vertical="center"/>
    </xf>
    <xf numFmtId="167" fontId="22" fillId="0" borderId="0" xfId="2" applyNumberFormat="1" applyFont="1" applyFill="1" applyAlignment="1">
      <alignment horizontal="center" vertical="center"/>
    </xf>
    <xf numFmtId="9" fontId="20" fillId="0" borderId="0" xfId="2" applyFont="1" applyFill="1" applyAlignment="1">
      <alignment horizontal="center" vertical="center"/>
    </xf>
    <xf numFmtId="9" fontId="22" fillId="0" borderId="0" xfId="2" applyFont="1" applyFill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20" fillId="0" borderId="4" xfId="0" applyNumberFormat="1" applyFont="1" applyBorder="1"/>
    <xf numFmtId="164" fontId="22" fillId="0" borderId="2" xfId="0" applyNumberFormat="1" applyFont="1" applyBorder="1"/>
    <xf numFmtId="164" fontId="22" fillId="0" borderId="2" xfId="0" applyNumberFormat="1" applyFont="1" applyBorder="1" applyAlignment="1">
      <alignment horizontal="center" vertical="center"/>
    </xf>
    <xf numFmtId="164" fontId="20" fillId="0" borderId="2" xfId="0" applyNumberFormat="1" applyFont="1" applyBorder="1"/>
    <xf numFmtId="164" fontId="20" fillId="0" borderId="2" xfId="0" applyNumberFormat="1" applyFont="1" applyBorder="1" applyAlignment="1">
      <alignment horizontal="center" vertical="center"/>
    </xf>
    <xf numFmtId="164" fontId="27" fillId="0" borderId="2" xfId="0" applyNumberFormat="1" applyFont="1" applyBorder="1"/>
    <xf numFmtId="164" fontId="27" fillId="0" borderId="2" xfId="0" applyNumberFormat="1" applyFont="1" applyBorder="1" applyAlignment="1">
      <alignment horizontal="center" vertical="center"/>
    </xf>
    <xf numFmtId="164" fontId="20" fillId="0" borderId="1" xfId="0" applyNumberFormat="1" applyFont="1" applyBorder="1"/>
    <xf numFmtId="164" fontId="21" fillId="0" borderId="2" xfId="0" applyNumberFormat="1" applyFont="1" applyBorder="1" applyAlignment="1">
      <alignment horizontal="center" vertical="center"/>
    </xf>
    <xf numFmtId="164" fontId="20" fillId="0" borderId="6" xfId="0" applyNumberFormat="1" applyFont="1" applyBorder="1"/>
    <xf numFmtId="9" fontId="21" fillId="0" borderId="2" xfId="2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9" fontId="21" fillId="0" borderId="1" xfId="2" applyFont="1" applyFill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0" fontId="24" fillId="0" borderId="2" xfId="2" applyNumberFormat="1" applyFont="1" applyFill="1" applyBorder="1" applyAlignment="1">
      <alignment horizontal="center" vertical="center"/>
    </xf>
    <xf numFmtId="164" fontId="22" fillId="0" borderId="8" xfId="0" applyNumberFormat="1" applyFont="1" applyBorder="1"/>
    <xf numFmtId="9" fontId="29" fillId="0" borderId="0" xfId="2" applyFont="1" applyFill="1" applyAlignment="1">
      <alignment horizontal="center" vertical="center"/>
    </xf>
    <xf numFmtId="10" fontId="22" fillId="0" borderId="0" xfId="2" applyNumberFormat="1" applyFont="1" applyFill="1" applyAlignment="1">
      <alignment horizontal="center" vertical="center"/>
    </xf>
    <xf numFmtId="0" fontId="22" fillId="0" borderId="0" xfId="0" applyFont="1"/>
    <xf numFmtId="9" fontId="20" fillId="0" borderId="1" xfId="2" applyFont="1" applyFill="1" applyBorder="1" applyAlignment="1">
      <alignment horizontal="center" vertical="center" wrapText="1"/>
    </xf>
    <xf numFmtId="164" fontId="22" fillId="0" borderId="6" xfId="0" applyNumberFormat="1" applyFont="1" applyBorder="1"/>
    <xf numFmtId="9" fontId="22" fillId="0" borderId="2" xfId="2" applyFont="1" applyFill="1" applyBorder="1" applyAlignment="1">
      <alignment horizontal="center" vertical="center"/>
    </xf>
    <xf numFmtId="164" fontId="20" fillId="0" borderId="9" xfId="0" applyNumberFormat="1" applyFont="1" applyBorder="1"/>
    <xf numFmtId="164" fontId="22" fillId="0" borderId="10" xfId="0" applyNumberFormat="1" applyFont="1" applyBorder="1"/>
    <xf numFmtId="9" fontId="21" fillId="0" borderId="11" xfId="2" applyFont="1" applyFill="1" applyBorder="1" applyAlignment="1">
      <alignment horizontal="center" vertical="center"/>
    </xf>
    <xf numFmtId="9" fontId="22" fillId="0" borderId="11" xfId="2" applyFont="1" applyFill="1" applyBorder="1" applyAlignment="1">
      <alignment horizontal="center" vertical="center"/>
    </xf>
    <xf numFmtId="9" fontId="21" fillId="0" borderId="11" xfId="0" applyNumberFormat="1" applyFont="1" applyBorder="1" applyAlignment="1">
      <alignment horizontal="center" vertical="center"/>
    </xf>
    <xf numFmtId="164" fontId="22" fillId="0" borderId="11" xfId="0" applyNumberFormat="1" applyFont="1" applyBorder="1"/>
    <xf numFmtId="164" fontId="22" fillId="0" borderId="11" xfId="0" applyNumberFormat="1" applyFont="1" applyBorder="1" applyAlignment="1">
      <alignment horizontal="center" vertical="center"/>
    </xf>
    <xf numFmtId="164" fontId="27" fillId="0" borderId="11" xfId="0" applyNumberFormat="1" applyFont="1" applyBorder="1" applyAlignment="1">
      <alignment horizontal="center" vertical="center"/>
    </xf>
    <xf numFmtId="164" fontId="20" fillId="0" borderId="12" xfId="0" applyNumberFormat="1" applyFont="1" applyBorder="1"/>
    <xf numFmtId="164" fontId="20" fillId="0" borderId="12" xfId="0" applyNumberFormat="1" applyFont="1" applyBorder="1" applyAlignment="1">
      <alignment horizontal="center" vertical="center"/>
    </xf>
    <xf numFmtId="164" fontId="27" fillId="0" borderId="12" xfId="0" applyNumberFormat="1" applyFont="1" applyBorder="1" applyAlignment="1">
      <alignment horizontal="center" vertical="center"/>
    </xf>
    <xf numFmtId="164" fontId="20" fillId="0" borderId="13" xfId="0" applyNumberFormat="1" applyFont="1" applyBorder="1" applyAlignment="1">
      <alignment horizontal="center" vertical="center"/>
    </xf>
    <xf numFmtId="164" fontId="22" fillId="0" borderId="14" xfId="0" applyNumberFormat="1" applyFont="1" applyBorder="1" applyAlignment="1">
      <alignment horizontal="center" vertical="center"/>
    </xf>
    <xf numFmtId="164" fontId="27" fillId="0" borderId="8" xfId="0" applyNumberFormat="1" applyFont="1" applyBorder="1" applyAlignment="1">
      <alignment horizontal="center" vertical="center"/>
    </xf>
    <xf numFmtId="164" fontId="27" fillId="0" borderId="7" xfId="0" applyNumberFormat="1" applyFont="1" applyBorder="1" applyAlignment="1">
      <alignment horizontal="center" vertical="center"/>
    </xf>
    <xf numFmtId="164" fontId="20" fillId="0" borderId="15" xfId="0" applyNumberFormat="1" applyFont="1" applyBorder="1" applyAlignment="1">
      <alignment horizontal="center" vertical="center"/>
    </xf>
    <xf numFmtId="164" fontId="22" fillId="0" borderId="8" xfId="0" applyNumberFormat="1" applyFont="1" applyBorder="1" applyAlignment="1">
      <alignment horizontal="center" vertical="center"/>
    </xf>
    <xf numFmtId="164" fontId="22" fillId="0" borderId="7" xfId="0" applyNumberFormat="1" applyFont="1" applyBorder="1" applyAlignment="1">
      <alignment horizontal="center" vertical="center"/>
    </xf>
    <xf numFmtId="164" fontId="20" fillId="0" borderId="8" xfId="0" applyNumberFormat="1" applyFont="1" applyBorder="1" applyAlignment="1">
      <alignment horizontal="center" vertical="center"/>
    </xf>
    <xf numFmtId="9" fontId="29" fillId="0" borderId="2" xfId="2" applyFont="1" applyFill="1" applyBorder="1" applyAlignment="1">
      <alignment horizontal="center" vertical="center"/>
    </xf>
    <xf numFmtId="10" fontId="30" fillId="0" borderId="1" xfId="2" applyNumberFormat="1" applyFont="1" applyFill="1" applyBorder="1" applyAlignment="1">
      <alignment horizontal="center" vertical="center"/>
    </xf>
    <xf numFmtId="10" fontId="21" fillId="0" borderId="1" xfId="2" applyNumberFormat="1" applyFont="1" applyFill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164" fontId="28" fillId="0" borderId="0" xfId="1" applyNumberFormat="1" applyFont="1" applyFill="1" applyAlignment="1">
      <alignment horizontal="center" vertical="center"/>
    </xf>
    <xf numFmtId="164" fontId="28" fillId="0" borderId="2" xfId="1" applyNumberFormat="1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/>
    </xf>
    <xf numFmtId="9" fontId="20" fillId="0" borderId="5" xfId="2" applyFont="1" applyFill="1" applyBorder="1" applyAlignment="1">
      <alignment horizontal="center" vertical="center"/>
    </xf>
    <xf numFmtId="167" fontId="22" fillId="0" borderId="5" xfId="2" applyNumberFormat="1" applyFont="1" applyFill="1" applyBorder="1" applyAlignment="1">
      <alignment horizontal="center" vertical="center"/>
    </xf>
    <xf numFmtId="9" fontId="24" fillId="0" borderId="2" xfId="2" applyFont="1" applyFill="1" applyBorder="1" applyAlignment="1">
      <alignment horizontal="center" vertical="center"/>
    </xf>
    <xf numFmtId="9" fontId="24" fillId="0" borderId="7" xfId="2" applyFont="1" applyFill="1" applyBorder="1" applyAlignment="1">
      <alignment horizontal="center" vertical="center"/>
    </xf>
    <xf numFmtId="167" fontId="27" fillId="0" borderId="7" xfId="2" applyNumberFormat="1" applyFont="1" applyFill="1" applyBorder="1" applyAlignment="1">
      <alignment horizontal="center" vertical="center"/>
    </xf>
    <xf numFmtId="164" fontId="20" fillId="0" borderId="4" xfId="0" applyNumberFormat="1" applyFont="1" applyBorder="1" applyAlignment="1">
      <alignment horizontal="left"/>
    </xf>
    <xf numFmtId="10" fontId="22" fillId="0" borderId="2" xfId="2" applyNumberFormat="1" applyFont="1" applyFill="1" applyBorder="1" applyAlignment="1">
      <alignment horizontal="center" vertical="center"/>
    </xf>
    <xf numFmtId="10" fontId="6" fillId="0" borderId="0" xfId="0" applyNumberFormat="1" applyFont="1"/>
    <xf numFmtId="164" fontId="24" fillId="0" borderId="0" xfId="0" applyNumberFormat="1" applyFont="1" applyAlignment="1">
      <alignment horizontal="center" vertical="center" textRotation="90"/>
    </xf>
    <xf numFmtId="164" fontId="27" fillId="0" borderId="16" xfId="0" applyNumberFormat="1" applyFont="1" applyBorder="1"/>
    <xf numFmtId="164" fontId="22" fillId="5" borderId="0" xfId="0" applyNumberFormat="1" applyFont="1" applyFill="1" applyAlignment="1">
      <alignment horizontal="center" vertical="center"/>
    </xf>
    <xf numFmtId="164" fontId="16" fillId="0" borderId="17" xfId="0" applyNumberFormat="1" applyFont="1" applyBorder="1" applyAlignment="1">
      <alignment horizontal="left" vertical="center"/>
    </xf>
    <xf numFmtId="164" fontId="16" fillId="0" borderId="18" xfId="0" applyNumberFormat="1" applyFont="1" applyBorder="1" applyAlignment="1">
      <alignment horizontal="center" vertical="center"/>
    </xf>
    <xf numFmtId="164" fontId="16" fillId="0" borderId="19" xfId="0" applyNumberFormat="1" applyFont="1" applyBorder="1" applyAlignment="1">
      <alignment horizontal="center" vertical="center"/>
    </xf>
    <xf numFmtId="164" fontId="17" fillId="0" borderId="17" xfId="0" applyNumberFormat="1" applyFont="1" applyBorder="1" applyAlignment="1">
      <alignment horizontal="left" vertical="center"/>
    </xf>
    <xf numFmtId="164" fontId="20" fillId="0" borderId="17" xfId="0" applyNumberFormat="1" applyFont="1" applyBorder="1"/>
    <xf numFmtId="164" fontId="20" fillId="0" borderId="18" xfId="0" applyNumberFormat="1" applyFont="1" applyBorder="1" applyAlignment="1">
      <alignment horizontal="center" vertical="center"/>
    </xf>
    <xf numFmtId="164" fontId="20" fillId="0" borderId="19" xfId="0" applyNumberFormat="1" applyFont="1" applyBorder="1" applyAlignment="1">
      <alignment horizontal="center" vertical="center"/>
    </xf>
    <xf numFmtId="164" fontId="31" fillId="5" borderId="0" xfId="0" applyNumberFormat="1" applyFont="1" applyFill="1"/>
    <xf numFmtId="164" fontId="31" fillId="0" borderId="0" xfId="0" applyNumberFormat="1" applyFont="1"/>
    <xf numFmtId="164" fontId="32" fillId="0" borderId="0" xfId="0" applyNumberFormat="1" applyFont="1"/>
    <xf numFmtId="10" fontId="31" fillId="0" borderId="0" xfId="2" applyNumberFormat="1" applyFont="1" applyFill="1" applyAlignment="1">
      <alignment horizontal="center" vertical="center"/>
    </xf>
    <xf numFmtId="164" fontId="31" fillId="0" borderId="0" xfId="0" applyNumberFormat="1" applyFont="1" applyAlignment="1">
      <alignment horizontal="center" vertical="center"/>
    </xf>
    <xf numFmtId="9" fontId="31" fillId="0" borderId="0" xfId="2" applyFont="1" applyFill="1" applyAlignment="1">
      <alignment horizontal="center" vertical="center"/>
    </xf>
    <xf numFmtId="164" fontId="33" fillId="0" borderId="0" xfId="0" applyNumberFormat="1" applyFont="1"/>
    <xf numFmtId="164" fontId="33" fillId="0" borderId="1" xfId="0" applyNumberFormat="1" applyFont="1" applyBorder="1"/>
    <xf numFmtId="164" fontId="34" fillId="0" borderId="1" xfId="0" applyNumberFormat="1" applyFont="1" applyBorder="1" applyAlignment="1">
      <alignment horizontal="center" vertical="center"/>
    </xf>
    <xf numFmtId="164" fontId="33" fillId="0" borderId="6" xfId="0" applyNumberFormat="1" applyFont="1" applyBorder="1"/>
    <xf numFmtId="10" fontId="32" fillId="0" borderId="0" xfId="2" applyNumberFormat="1" applyFont="1" applyFill="1" applyAlignment="1">
      <alignment horizontal="center" vertical="center"/>
    </xf>
    <xf numFmtId="164" fontId="31" fillId="0" borderId="2" xfId="0" applyNumberFormat="1" applyFont="1" applyBorder="1"/>
    <xf numFmtId="9" fontId="34" fillId="0" borderId="1" xfId="2" applyFont="1" applyFill="1" applyBorder="1" applyAlignment="1">
      <alignment horizontal="center" vertical="center"/>
    </xf>
    <xf numFmtId="9" fontId="31" fillId="0" borderId="2" xfId="2" applyFont="1" applyFill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164" fontId="33" fillId="0" borderId="2" xfId="0" applyNumberFormat="1" applyFont="1" applyBorder="1"/>
    <xf numFmtId="164" fontId="32" fillId="0" borderId="2" xfId="0" applyNumberFormat="1" applyFont="1" applyBorder="1"/>
    <xf numFmtId="9" fontId="33" fillId="0" borderId="1" xfId="2" applyFont="1" applyFill="1" applyBorder="1" applyAlignment="1">
      <alignment horizontal="center" vertical="center"/>
    </xf>
    <xf numFmtId="164" fontId="14" fillId="0" borderId="3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left" vertical="center"/>
    </xf>
    <xf numFmtId="164" fontId="14" fillId="0" borderId="6" xfId="0" applyNumberFormat="1" applyFont="1" applyBorder="1" applyAlignment="1">
      <alignment horizontal="left" vertical="center"/>
    </xf>
    <xf numFmtId="10" fontId="14" fillId="0" borderId="7" xfId="2" applyNumberFormat="1" applyFont="1" applyBorder="1" applyAlignment="1">
      <alignment horizontal="right" vertical="center"/>
    </xf>
    <xf numFmtId="5" fontId="14" fillId="0" borderId="5" xfId="0" applyNumberFormat="1" applyFont="1" applyBorder="1" applyAlignment="1">
      <alignment horizontal="right" vertical="center"/>
    </xf>
    <xf numFmtId="5" fontId="14" fillId="0" borderId="8" xfId="0" applyNumberFormat="1" applyFont="1" applyBorder="1" applyAlignment="1">
      <alignment horizontal="right" vertical="center"/>
    </xf>
    <xf numFmtId="9" fontId="33" fillId="0" borderId="1" xfId="2" applyFont="1" applyFill="1" applyBorder="1" applyAlignment="1">
      <alignment horizontal="center" vertical="center" wrapText="1"/>
    </xf>
    <xf numFmtId="164" fontId="31" fillId="0" borderId="6" xfId="0" applyNumberFormat="1" applyFont="1" applyBorder="1"/>
    <xf numFmtId="164" fontId="31" fillId="0" borderId="2" xfId="0" applyNumberFormat="1" applyFont="1" applyBorder="1" applyAlignment="1">
      <alignment horizontal="center" vertical="center"/>
    </xf>
    <xf numFmtId="164" fontId="33" fillId="0" borderId="9" xfId="0" applyNumberFormat="1" applyFont="1" applyBorder="1"/>
    <xf numFmtId="164" fontId="32" fillId="0" borderId="0" xfId="0" applyNumberFormat="1" applyFont="1" applyAlignment="1">
      <alignment horizontal="center" vertical="center"/>
    </xf>
    <xf numFmtId="0" fontId="31" fillId="0" borderId="0" xfId="0" applyFont="1"/>
    <xf numFmtId="164" fontId="31" fillId="0" borderId="10" xfId="0" applyNumberFormat="1" applyFont="1" applyBorder="1"/>
    <xf numFmtId="164" fontId="31" fillId="0" borderId="0" xfId="1" applyNumberFormat="1" applyFont="1" applyFill="1" applyAlignment="1">
      <alignment horizontal="center" vertical="center"/>
    </xf>
    <xf numFmtId="9" fontId="31" fillId="0" borderId="11" xfId="2" applyFont="1" applyFill="1" applyBorder="1" applyAlignment="1">
      <alignment horizontal="center" vertical="center"/>
    </xf>
    <xf numFmtId="164" fontId="31" fillId="0" borderId="2" xfId="1" applyNumberFormat="1" applyFont="1" applyFill="1" applyBorder="1" applyAlignment="1">
      <alignment horizontal="center" vertical="center"/>
    </xf>
    <xf numFmtId="164" fontId="31" fillId="0" borderId="11" xfId="0" applyNumberFormat="1" applyFont="1" applyBorder="1"/>
    <xf numFmtId="164" fontId="33" fillId="0" borderId="12" xfId="0" applyNumberFormat="1" applyFont="1" applyBorder="1"/>
    <xf numFmtId="164" fontId="33" fillId="0" borderId="13" xfId="0" applyNumberFormat="1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left"/>
    </xf>
    <xf numFmtId="164" fontId="33" fillId="0" borderId="4" xfId="0" applyNumberFormat="1" applyFont="1" applyBorder="1"/>
    <xf numFmtId="164" fontId="16" fillId="0" borderId="12" xfId="0" applyNumberFormat="1" applyFont="1" applyBorder="1" applyAlignment="1">
      <alignment horizontal="left" vertical="center"/>
    </xf>
    <xf numFmtId="164" fontId="16" fillId="0" borderId="12" xfId="0" applyNumberFormat="1" applyFont="1" applyBorder="1" applyAlignment="1">
      <alignment horizontal="center" vertical="center"/>
    </xf>
    <xf numFmtId="164" fontId="16" fillId="0" borderId="16" xfId="0" applyNumberFormat="1" applyFont="1" applyBorder="1" applyAlignment="1">
      <alignment horizontal="left" vertical="center"/>
    </xf>
    <xf numFmtId="9" fontId="15" fillId="0" borderId="15" xfId="2" applyFont="1" applyBorder="1" applyAlignment="1">
      <alignment horizontal="center" vertical="center"/>
    </xf>
    <xf numFmtId="164" fontId="35" fillId="0" borderId="0" xfId="0" applyNumberFormat="1" applyFont="1"/>
    <xf numFmtId="9" fontId="35" fillId="0" borderId="0" xfId="2" applyFont="1"/>
    <xf numFmtId="164" fontId="36" fillId="0" borderId="0" xfId="0" applyNumberFormat="1" applyFont="1"/>
    <xf numFmtId="164" fontId="37" fillId="0" borderId="0" xfId="0" applyNumberFormat="1" applyFont="1"/>
    <xf numFmtId="9" fontId="35" fillId="2" borderId="0" xfId="2" applyFont="1" applyFill="1"/>
    <xf numFmtId="164" fontId="35" fillId="2" borderId="0" xfId="0" applyNumberFormat="1" applyFont="1" applyFill="1"/>
    <xf numFmtId="10" fontId="35" fillId="2" borderId="0" xfId="2" applyNumberFormat="1" applyFont="1" applyFill="1"/>
    <xf numFmtId="10" fontId="35" fillId="0" borderId="0" xfId="2" applyNumberFormat="1" applyFont="1"/>
    <xf numFmtId="10" fontId="35" fillId="0" borderId="0" xfId="2" applyNumberFormat="1" applyFont="1" applyFill="1"/>
    <xf numFmtId="164" fontId="16" fillId="0" borderId="1" xfId="0" applyNumberFormat="1" applyFont="1" applyBorder="1" applyAlignment="1">
      <alignment vertical="center"/>
    </xf>
    <xf numFmtId="164" fontId="14" fillId="0" borderId="0" xfId="0" applyNumberFormat="1" applyFont="1" applyAlignment="1">
      <alignment vertical="center"/>
    </xf>
    <xf numFmtId="164" fontId="14" fillId="0" borderId="2" xfId="0" applyNumberFormat="1" applyFont="1" applyBorder="1" applyAlignment="1">
      <alignment vertical="center"/>
    </xf>
    <xf numFmtId="164" fontId="16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10" fontId="17" fillId="0" borderId="12" xfId="2" applyNumberFormat="1" applyFont="1" applyFill="1" applyBorder="1" applyAlignment="1">
      <alignment horizontal="center" vertical="center"/>
    </xf>
    <xf numFmtId="164" fontId="34" fillId="0" borderId="8" xfId="0" applyNumberFormat="1" applyFont="1" applyBorder="1" applyAlignment="1">
      <alignment horizontal="center" vertical="center" textRotation="90"/>
    </xf>
    <xf numFmtId="164" fontId="16" fillId="0" borderId="1" xfId="0" applyNumberFormat="1" applyFont="1" applyBorder="1" applyAlignment="1">
      <alignment horizontal="center" vertical="center"/>
    </xf>
    <xf numFmtId="164" fontId="1" fillId="0" borderId="0" xfId="3" applyNumberFormat="1"/>
    <xf numFmtId="164" fontId="39" fillId="6" borderId="0" xfId="3" applyNumberFormat="1" applyFont="1" applyFill="1"/>
    <xf numFmtId="164" fontId="40" fillId="6" borderId="0" xfId="3" applyNumberFormat="1" applyFont="1" applyFill="1"/>
    <xf numFmtId="164" fontId="38" fillId="0" borderId="0" xfId="3" applyNumberFormat="1" applyFont="1"/>
    <xf numFmtId="164" fontId="39" fillId="0" borderId="0" xfId="3" applyNumberFormat="1" applyFont="1"/>
    <xf numFmtId="164" fontId="40" fillId="0" borderId="0" xfId="3" applyNumberFormat="1" applyFont="1"/>
    <xf numFmtId="0" fontId="41" fillId="0" borderId="0" xfId="4"/>
    <xf numFmtId="164" fontId="42" fillId="0" borderId="0" xfId="5" applyNumberFormat="1"/>
  </cellXfs>
  <cellStyles count="6">
    <cellStyle name="Collegamento ipertestuale 2" xfId="5" xr:uid="{40ECBA2D-8422-4709-9FF9-8C913DBA44B3}"/>
    <cellStyle name="Migliaia" xfId="1" builtinId="3"/>
    <cellStyle name="Normale" xfId="0" builtinId="0"/>
    <cellStyle name="Normale 2" xfId="3" xr:uid="{ACA44161-84A7-4C91-9AD5-584BD933CCEA}"/>
    <cellStyle name="Normale 3" xfId="4" xr:uid="{C672C44D-7DF6-4FB9-A11B-E33EA6BA639B}"/>
    <cellStyle name="Percentuale" xfId="2" builtinId="5"/>
  </cellStyles>
  <dxfs count="2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2" tint="-9.9948118533890809E-2"/>
      </font>
    </dxf>
    <dxf>
      <font>
        <color theme="2" tint="-9.9948118533890809E-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lor theme="2" tint="-9.9948118533890809E-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2" tint="-9.9948118533890809E-2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440458</xdr:colOff>
      <xdr:row>1</xdr:row>
      <xdr:rowOff>20031</xdr:rowOff>
    </xdr:from>
    <xdr:to>
      <xdr:col>6</xdr:col>
      <xdr:colOff>385087</xdr:colOff>
      <xdr:row>13</xdr:row>
      <xdr:rowOff>113489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0AF064B-A479-49D8-A48D-CB57596AE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043" y="210531"/>
          <a:ext cx="2376544" cy="23794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pertyfinance.it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8C20E-24AF-4CCB-B211-C7589507B53A}">
  <dimension ref="B2:C15"/>
  <sheetViews>
    <sheetView showGridLines="0" tabSelected="1" zoomScale="235" zoomScaleNormal="235" workbookViewId="0">
      <selection activeCell="B9" sqref="B9"/>
    </sheetView>
  </sheetViews>
  <sheetFormatPr defaultRowHeight="15" x14ac:dyDescent="0.25"/>
  <cols>
    <col min="1" max="1" width="9.140625" style="250"/>
    <col min="2" max="2" width="48.7109375" style="250" bestFit="1" customWidth="1"/>
    <col min="3" max="16384" width="9.140625" style="250"/>
  </cols>
  <sheetData>
    <row r="2" spans="2:3" x14ac:dyDescent="0.25">
      <c r="B2" s="250" t="s">
        <v>396</v>
      </c>
    </row>
    <row r="4" spans="2:3" x14ac:dyDescent="0.25">
      <c r="B4" s="251" t="s">
        <v>397</v>
      </c>
    </row>
    <row r="5" spans="2:3" x14ac:dyDescent="0.25">
      <c r="B5" s="252" t="s">
        <v>398</v>
      </c>
    </row>
    <row r="7" spans="2:3" x14ac:dyDescent="0.25">
      <c r="B7" s="253" t="s">
        <v>403</v>
      </c>
    </row>
    <row r="8" spans="2:3" x14ac:dyDescent="0.25">
      <c r="B8" s="254" t="s">
        <v>404</v>
      </c>
    </row>
    <row r="9" spans="2:3" x14ac:dyDescent="0.25">
      <c r="B9" s="255"/>
    </row>
    <row r="11" spans="2:3" x14ac:dyDescent="0.25">
      <c r="B11" s="250" t="s">
        <v>399</v>
      </c>
      <c r="C11" s="256"/>
    </row>
    <row r="12" spans="2:3" x14ac:dyDescent="0.25">
      <c r="B12" s="257" t="s">
        <v>400</v>
      </c>
    </row>
    <row r="14" spans="2:3" x14ac:dyDescent="0.25">
      <c r="B14" s="255" t="s">
        <v>401</v>
      </c>
    </row>
    <row r="15" spans="2:3" x14ac:dyDescent="0.25">
      <c r="B15" s="255" t="s">
        <v>402</v>
      </c>
    </row>
  </sheetData>
  <hyperlinks>
    <hyperlink ref="B12" r:id="rId1" xr:uid="{4CDDD4EE-E81A-40FC-B082-038D4DD49D11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0">
    <tabColor rgb="FFFFFF00"/>
  </sheetPr>
  <dimension ref="B2:E9"/>
  <sheetViews>
    <sheetView showGridLines="0" workbookViewId="0">
      <selection activeCell="B9" sqref="B2:E9"/>
    </sheetView>
  </sheetViews>
  <sheetFormatPr defaultColWidth="8.85546875" defaultRowHeight="15" x14ac:dyDescent="0.25"/>
  <cols>
    <col min="1" max="1" width="8.85546875" style="20"/>
    <col min="2" max="2" width="10.7109375" style="59" bestFit="1" customWidth="1"/>
    <col min="3" max="3" width="11.85546875" style="58" bestFit="1" customWidth="1"/>
    <col min="4" max="4" width="25" style="58" bestFit="1" customWidth="1"/>
    <col min="5" max="5" width="11.85546875" style="58" bestFit="1" customWidth="1"/>
    <col min="6" max="16384" width="8.85546875" style="20"/>
  </cols>
  <sheetData>
    <row r="2" spans="2:5" ht="29.25" thickBot="1" x14ac:dyDescent="0.3">
      <c r="B2" s="70"/>
      <c r="C2" s="68" t="str">
        <f>'ts2 frazionamento'!F5</f>
        <v>Prezzo</v>
      </c>
      <c r="D2" s="67" t="str">
        <f>'ts2 frazionamento'!H5</f>
        <v>Canone di Locazione Netto</v>
      </c>
      <c r="E2" s="68" t="str">
        <f>'ts2 frazionamento'!G5</f>
        <v>Valutazione</v>
      </c>
    </row>
    <row r="3" spans="2:5" ht="15.75" thickTop="1" x14ac:dyDescent="0.25">
      <c r="B3" s="50" t="str">
        <f>'ts2 frazionamento'!E6</f>
        <v>Immobile 1</v>
      </c>
      <c r="C3" s="37"/>
      <c r="D3" s="37">
        <f>'ts2 frazionamento'!H6</f>
        <v>357000</v>
      </c>
      <c r="E3" s="37">
        <f>'ts2 frazionamento'!G6</f>
        <v>5950000</v>
      </c>
    </row>
    <row r="4" spans="2:5" x14ac:dyDescent="0.25">
      <c r="B4" s="50" t="str">
        <f>'ts2 frazionamento'!E7</f>
        <v>Immobile 2</v>
      </c>
      <c r="C4" s="37"/>
      <c r="D4" s="37">
        <f>'ts2 frazionamento'!H7</f>
        <v>536400</v>
      </c>
      <c r="E4" s="37">
        <f>'ts2 frazionamento'!G7</f>
        <v>8940000</v>
      </c>
    </row>
    <row r="5" spans="2:5" x14ac:dyDescent="0.25">
      <c r="B5" s="50" t="str">
        <f>'ts2 frazionamento'!E8</f>
        <v>Immobile 3</v>
      </c>
      <c r="C5" s="37"/>
      <c r="D5" s="37">
        <f>'ts2 frazionamento'!H8</f>
        <v>222000</v>
      </c>
      <c r="E5" s="37">
        <f>'ts2 frazionamento'!G8</f>
        <v>3700000</v>
      </c>
    </row>
    <row r="6" spans="2:5" x14ac:dyDescent="0.25">
      <c r="B6" s="50" t="str">
        <f>'ts2 frazionamento'!E9</f>
        <v>Immobile 4</v>
      </c>
      <c r="C6" s="37"/>
      <c r="D6" s="37">
        <f>'ts2 frazionamento'!H9</f>
        <v>1068000</v>
      </c>
      <c r="E6" s="37">
        <f>'ts2 frazionamento'!G9</f>
        <v>17800000</v>
      </c>
    </row>
    <row r="7" spans="2:5" x14ac:dyDescent="0.25">
      <c r="B7" s="51" t="str">
        <f>'ts2 frazionamento'!E10</f>
        <v>Immobile 5</v>
      </c>
      <c r="C7" s="39"/>
      <c r="D7" s="39">
        <f>'ts2 frazionamento'!H10</f>
        <v>594000</v>
      </c>
      <c r="E7" s="39">
        <f>'ts2 frazionamento'!G10</f>
        <v>9900000</v>
      </c>
    </row>
    <row r="8" spans="2:5" x14ac:dyDescent="0.25">
      <c r="B8" s="229" t="str">
        <f>'ts2 frazionamento'!E11</f>
        <v>Portafoglio</v>
      </c>
      <c r="C8" s="230">
        <f>'ts2 frazionamento'!F11</f>
        <v>39000000</v>
      </c>
      <c r="D8" s="230">
        <f>'ts2 frazionamento'!H11</f>
        <v>2777400</v>
      </c>
      <c r="E8" s="230">
        <f>'ts2 frazionamento'!G11</f>
        <v>46290000</v>
      </c>
    </row>
    <row r="9" spans="2:5" x14ac:dyDescent="0.25">
      <c r="B9" s="231" t="str">
        <f>'ts2 frazionamento'!E12</f>
        <v>IVA</v>
      </c>
      <c r="C9" s="230">
        <f>'ts2 frazionamento'!F12</f>
        <v>8580000</v>
      </c>
      <c r="D9" s="232">
        <f>'ts2 frazionamento'!G12</f>
        <v>0.22</v>
      </c>
      <c r="E9" s="69"/>
    </row>
  </sheetData>
  <phoneticPr fontId="19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1">
    <tabColor rgb="FFFFFF00"/>
  </sheetPr>
  <dimension ref="B2:L8"/>
  <sheetViews>
    <sheetView showGridLines="0" workbookViewId="0">
      <selection activeCell="L8" sqref="B2:L8"/>
    </sheetView>
  </sheetViews>
  <sheetFormatPr defaultColWidth="9.140625" defaultRowHeight="15" x14ac:dyDescent="0.25"/>
  <cols>
    <col min="1" max="1" width="9.140625" style="20"/>
    <col min="2" max="2" width="14.7109375" style="59" bestFit="1" customWidth="1"/>
    <col min="3" max="9" width="11.42578125" style="58" bestFit="1" customWidth="1"/>
    <col min="10" max="11" width="10.42578125" style="58" bestFit="1" customWidth="1"/>
    <col min="12" max="12" width="9.140625" style="58" bestFit="1" customWidth="1"/>
    <col min="13" max="16384" width="9.140625" style="20"/>
  </cols>
  <sheetData>
    <row r="2" spans="2:12" ht="15.75" thickBot="1" x14ac:dyDescent="0.3">
      <c r="B2" s="48"/>
      <c r="C2" s="36">
        <f>'ts2 frazionamento'!G40</f>
        <v>1</v>
      </c>
      <c r="D2" s="36">
        <f>'ts2 frazionamento'!H40</f>
        <v>2</v>
      </c>
      <c r="E2" s="36">
        <f>'ts2 frazionamento'!I40</f>
        <v>3</v>
      </c>
      <c r="F2" s="36">
        <f>'ts2 frazionamento'!J40</f>
        <v>4</v>
      </c>
      <c r="G2" s="36">
        <f>'ts2 frazionamento'!K40</f>
        <v>5</v>
      </c>
      <c r="H2" s="36">
        <f>'ts2 frazionamento'!L40</f>
        <v>6</v>
      </c>
      <c r="I2" s="36">
        <f>'ts2 frazionamento'!M40</f>
        <v>7</v>
      </c>
      <c r="J2" s="36">
        <f>'ts2 frazionamento'!N40</f>
        <v>8</v>
      </c>
      <c r="K2" s="36">
        <f>'ts2 frazionamento'!O40</f>
        <v>9</v>
      </c>
      <c r="L2" s="36">
        <f>'ts2 frazionamento'!P40</f>
        <v>10</v>
      </c>
    </row>
    <row r="3" spans="2:12" ht="15.75" thickTop="1" x14ac:dyDescent="0.25">
      <c r="B3" s="50" t="str">
        <f>'ts2 frazionamento'!E42</f>
        <v>Immobile 1</v>
      </c>
      <c r="C3" s="71">
        <f>IF('ts2 frazionamento'!G42=1,'ts2 frazionamento'!G47,"Venduto")</f>
        <v>5950000</v>
      </c>
      <c r="D3" s="71">
        <f>IF('ts2 frazionamento'!H42=1,'ts2 frazionamento'!H47,"Venduto")</f>
        <v>5950000</v>
      </c>
      <c r="E3" s="71">
        <f>IF('ts2 frazionamento'!I42=1,'ts2 frazionamento'!I47,"Venduto")</f>
        <v>5950000</v>
      </c>
      <c r="F3" s="71" t="str">
        <f>IF('ts2 frazionamento'!J42=1,'ts2 frazionamento'!J47,"Venduto")</f>
        <v>Venduto</v>
      </c>
      <c r="G3" s="71" t="str">
        <f>IF('ts2 frazionamento'!K42=1,'ts2 frazionamento'!K47,"Venduto")</f>
        <v>Venduto</v>
      </c>
      <c r="H3" s="71" t="str">
        <f>IF('ts2 frazionamento'!L42=1,'ts2 frazionamento'!L47,"Venduto")</f>
        <v>Venduto</v>
      </c>
      <c r="I3" s="71" t="str">
        <f>IF('ts2 frazionamento'!M42=1,'ts2 frazionamento'!M47,"Venduto")</f>
        <v>Venduto</v>
      </c>
      <c r="J3" s="71" t="str">
        <f>IF('ts2 frazionamento'!N42=1,'ts2 frazionamento'!N47,"Venduto")</f>
        <v>Venduto</v>
      </c>
      <c r="K3" s="71" t="str">
        <f>IF('ts2 frazionamento'!O42=1,'ts2 frazionamento'!O47,"Venduto")</f>
        <v>Venduto</v>
      </c>
      <c r="L3" s="71" t="str">
        <f>IF('ts2 frazionamento'!P42=1,'ts2 frazionamento'!P47,"Venduto")</f>
        <v>Venduto</v>
      </c>
    </row>
    <row r="4" spans="2:12" x14ac:dyDescent="0.25">
      <c r="B4" s="50" t="str">
        <f>'ts2 frazionamento'!E43</f>
        <v>Immobile 2</v>
      </c>
      <c r="C4" s="71">
        <f>IF('ts2 frazionamento'!G43=1,'ts2 frazionamento'!G48,"Venduto")</f>
        <v>8940000</v>
      </c>
      <c r="D4" s="71">
        <f>IF('ts2 frazionamento'!H43=1,'ts2 frazionamento'!H48,"Venduto")</f>
        <v>8940000</v>
      </c>
      <c r="E4" s="71">
        <f>IF('ts2 frazionamento'!I43=1,'ts2 frazionamento'!I48,"Venduto")</f>
        <v>8940000</v>
      </c>
      <c r="F4" s="71">
        <f>IF('ts2 frazionamento'!J43=1,'ts2 frazionamento'!J48,"Venduto")</f>
        <v>8940000</v>
      </c>
      <c r="G4" s="71">
        <f>IF('ts2 frazionamento'!K43=1,'ts2 frazionamento'!K48,"Venduto")</f>
        <v>8940000</v>
      </c>
      <c r="H4" s="71" t="str">
        <f>IF('ts2 frazionamento'!L43=1,'ts2 frazionamento'!L48,"Venduto")</f>
        <v>Venduto</v>
      </c>
      <c r="I4" s="71" t="str">
        <f>IF('ts2 frazionamento'!M43=1,'ts2 frazionamento'!M48,"Venduto")</f>
        <v>Venduto</v>
      </c>
      <c r="J4" s="71" t="str">
        <f>IF('ts2 frazionamento'!N43=1,'ts2 frazionamento'!N48,"Venduto")</f>
        <v>Venduto</v>
      </c>
      <c r="K4" s="71" t="str">
        <f>IF('ts2 frazionamento'!O43=1,'ts2 frazionamento'!O48,"Venduto")</f>
        <v>Venduto</v>
      </c>
      <c r="L4" s="71" t="str">
        <f>IF('ts2 frazionamento'!P43=1,'ts2 frazionamento'!P48,"Venduto")</f>
        <v>Venduto</v>
      </c>
    </row>
    <row r="5" spans="2:12" x14ac:dyDescent="0.25">
      <c r="B5" s="50" t="str">
        <f>'ts2 frazionamento'!E44</f>
        <v>Immobile 3</v>
      </c>
      <c r="C5" s="71">
        <f>IF('ts2 frazionamento'!G44=1,'ts2 frazionamento'!G49,"Venduto")</f>
        <v>3700000</v>
      </c>
      <c r="D5" s="71">
        <f>IF('ts2 frazionamento'!H44=1,'ts2 frazionamento'!H49,"Venduto")</f>
        <v>3700000</v>
      </c>
      <c r="E5" s="71">
        <f>IF('ts2 frazionamento'!I44=1,'ts2 frazionamento'!I49,"Venduto")</f>
        <v>3700000</v>
      </c>
      <c r="F5" s="71">
        <f>IF('ts2 frazionamento'!J44=1,'ts2 frazionamento'!J49,"Venduto")</f>
        <v>3700000</v>
      </c>
      <c r="G5" s="71">
        <f>IF('ts2 frazionamento'!K44=1,'ts2 frazionamento'!K49,"Venduto")</f>
        <v>3700000</v>
      </c>
      <c r="H5" s="71">
        <f>IF('ts2 frazionamento'!L44=1,'ts2 frazionamento'!L49,"Venduto")</f>
        <v>3700000</v>
      </c>
      <c r="I5" s="71" t="str">
        <f>IF('ts2 frazionamento'!M44=1,'ts2 frazionamento'!M49,"Venduto")</f>
        <v>Venduto</v>
      </c>
      <c r="J5" s="71" t="str">
        <f>IF('ts2 frazionamento'!N44=1,'ts2 frazionamento'!N49,"Venduto")</f>
        <v>Venduto</v>
      </c>
      <c r="K5" s="71" t="str">
        <f>IF('ts2 frazionamento'!O44=1,'ts2 frazionamento'!O49,"Venduto")</f>
        <v>Venduto</v>
      </c>
      <c r="L5" s="71" t="str">
        <f>IF('ts2 frazionamento'!P44=1,'ts2 frazionamento'!P49,"Venduto")</f>
        <v>Venduto</v>
      </c>
    </row>
    <row r="6" spans="2:12" x14ac:dyDescent="0.25">
      <c r="B6" s="50" t="str">
        <f>'ts2 frazionamento'!E45</f>
        <v>Immobile 4</v>
      </c>
      <c r="C6" s="71">
        <f>IF('ts2 frazionamento'!G45=1,'ts2 frazionamento'!G50,"Venduto")</f>
        <v>17800000</v>
      </c>
      <c r="D6" s="71">
        <f>IF('ts2 frazionamento'!H45=1,'ts2 frazionamento'!H50,"Venduto")</f>
        <v>17800000</v>
      </c>
      <c r="E6" s="71">
        <f>IF('ts2 frazionamento'!I45=1,'ts2 frazionamento'!I50,"Venduto")</f>
        <v>17800000</v>
      </c>
      <c r="F6" s="71">
        <f>IF('ts2 frazionamento'!J45=1,'ts2 frazionamento'!J50,"Venduto")</f>
        <v>17800000</v>
      </c>
      <c r="G6" s="71">
        <f>IF('ts2 frazionamento'!K45=1,'ts2 frazionamento'!K50,"Venduto")</f>
        <v>17800000</v>
      </c>
      <c r="H6" s="71">
        <f>IF('ts2 frazionamento'!L45=1,'ts2 frazionamento'!L50,"Venduto")</f>
        <v>17800000</v>
      </c>
      <c r="I6" s="71">
        <f>IF('ts2 frazionamento'!M45=1,'ts2 frazionamento'!M50,"Venduto")</f>
        <v>17800000</v>
      </c>
      <c r="J6" s="71" t="str">
        <f>IF('ts2 frazionamento'!N45=1,'ts2 frazionamento'!N50,"Venduto")</f>
        <v>Venduto</v>
      </c>
      <c r="K6" s="71" t="str">
        <f>IF('ts2 frazionamento'!O45=1,'ts2 frazionamento'!O50,"Venduto")</f>
        <v>Venduto</v>
      </c>
      <c r="L6" s="71" t="str">
        <f>IF('ts2 frazionamento'!P45=1,'ts2 frazionamento'!P50,"Venduto")</f>
        <v>Venduto</v>
      </c>
    </row>
    <row r="7" spans="2:12" x14ac:dyDescent="0.25">
      <c r="B7" s="51" t="str">
        <f>'ts2 frazionamento'!E46</f>
        <v>Immobile 5</v>
      </c>
      <c r="C7" s="72">
        <f>IF('ts2 frazionamento'!G46=1,'ts2 frazionamento'!G51,"Venduto")</f>
        <v>9900000</v>
      </c>
      <c r="D7" s="72">
        <f>IF('ts2 frazionamento'!H46=1,'ts2 frazionamento'!H51,"Venduto")</f>
        <v>9900000</v>
      </c>
      <c r="E7" s="72">
        <f>IF('ts2 frazionamento'!I46=1,'ts2 frazionamento'!I51,"Venduto")</f>
        <v>9900000</v>
      </c>
      <c r="F7" s="72">
        <f>IF('ts2 frazionamento'!J46=1,'ts2 frazionamento'!J51,"Venduto")</f>
        <v>9900000</v>
      </c>
      <c r="G7" s="72">
        <f>IF('ts2 frazionamento'!K46=1,'ts2 frazionamento'!K51,"Venduto")</f>
        <v>9900000</v>
      </c>
      <c r="H7" s="72">
        <f>IF('ts2 frazionamento'!L46=1,'ts2 frazionamento'!L51,"Venduto")</f>
        <v>9900000</v>
      </c>
      <c r="I7" s="72">
        <f>IF('ts2 frazionamento'!M46=1,'ts2 frazionamento'!M51,"Venduto")</f>
        <v>9900000</v>
      </c>
      <c r="J7" s="72">
        <f>IF('ts2 frazionamento'!N46=1,'ts2 frazionamento'!N51,"Venduto")</f>
        <v>9900000</v>
      </c>
      <c r="K7" s="72">
        <f>IF('ts2 frazionamento'!O46=1,'ts2 frazionamento'!O51,"Venduto")</f>
        <v>9900000</v>
      </c>
      <c r="L7" s="72" t="str">
        <f>IF('ts2 frazionamento'!P46=1,'ts2 frazionamento'!P51,"Venduto")</f>
        <v>Venduto</v>
      </c>
    </row>
    <row r="8" spans="2:12" x14ac:dyDescent="0.25">
      <c r="B8" s="49" t="s">
        <v>385</v>
      </c>
      <c r="C8" s="38">
        <f>'ts2 frazionamento'!G52</f>
        <v>46290000</v>
      </c>
      <c r="D8" s="38">
        <f>'ts2 frazionamento'!H52</f>
        <v>46290000</v>
      </c>
      <c r="E8" s="38">
        <f>'ts2 frazionamento'!I52</f>
        <v>46290000</v>
      </c>
      <c r="F8" s="38">
        <f>'ts2 frazionamento'!J52</f>
        <v>40340000</v>
      </c>
      <c r="G8" s="38">
        <f>'ts2 frazionamento'!K52</f>
        <v>40340000</v>
      </c>
      <c r="H8" s="38">
        <f>'ts2 frazionamento'!L52</f>
        <v>31400000</v>
      </c>
      <c r="I8" s="38">
        <f>'ts2 frazionamento'!M52</f>
        <v>27700000</v>
      </c>
      <c r="J8" s="38">
        <f>'ts2 frazionamento'!N52</f>
        <v>9900000</v>
      </c>
      <c r="K8" s="38">
        <f>'ts2 frazionamento'!O52</f>
        <v>9900000</v>
      </c>
      <c r="L8" s="38">
        <f>'ts2 frazionamento'!P52</f>
        <v>0</v>
      </c>
    </row>
  </sheetData>
  <phoneticPr fontId="19" type="noConversion"/>
  <conditionalFormatting sqref="C3:L7">
    <cfRule type="cellIs" dxfId="18" priority="2" operator="equal">
      <formula>0</formula>
    </cfRule>
  </conditionalFormatting>
  <conditionalFormatting sqref="C8:L8">
    <cfRule type="cellIs" dxfId="17" priority="1" operator="equal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FF00"/>
  </sheetPr>
  <dimension ref="B2:P45"/>
  <sheetViews>
    <sheetView showGridLines="0" topLeftCell="A12" workbookViewId="0">
      <selection activeCell="M2" sqref="B2:M28"/>
    </sheetView>
  </sheetViews>
  <sheetFormatPr defaultColWidth="9.140625" defaultRowHeight="15" outlineLevelCol="1" x14ac:dyDescent="0.25"/>
  <cols>
    <col min="1" max="1" width="9.140625" style="20"/>
    <col min="2" max="2" width="23.42578125" style="20" bestFit="1" customWidth="1"/>
    <col min="3" max="3" width="10.28515625" style="59" bestFit="1" customWidth="1"/>
    <col min="4" max="4" width="11.28515625" style="58" bestFit="1" customWidth="1"/>
    <col min="5" max="8" width="10.140625" style="58" bestFit="1" customWidth="1"/>
    <col min="9" max="9" width="10.5703125" style="58" bestFit="1" customWidth="1"/>
    <col min="10" max="10" width="10.140625" style="58" bestFit="1" customWidth="1"/>
    <col min="11" max="11" width="11.140625" style="58" bestFit="1" customWidth="1"/>
    <col min="12" max="12" width="8" style="58" bestFit="1" customWidth="1"/>
    <col min="13" max="13" width="10.28515625" style="58" bestFit="1" customWidth="1"/>
    <col min="14" max="15" width="3.42578125" style="58" hidden="1" customWidth="1" outlineLevel="1"/>
    <col min="16" max="16" width="9.140625" style="20" collapsed="1"/>
    <col min="17" max="16384" width="9.140625" style="20"/>
  </cols>
  <sheetData>
    <row r="2" spans="2:15" ht="15.75" thickBot="1" x14ac:dyDescent="0.3">
      <c r="B2" s="131" t="str">
        <f>IF('ts2 frazionamento'!E54="","",'ts2 frazionamento'!E54)</f>
        <v>CASH FLOW</v>
      </c>
      <c r="C2" s="135">
        <f>IF('ts2 frazionamento'!F54="","",'ts2 frazionamento'!F54)</f>
        <v>0</v>
      </c>
      <c r="D2" s="135">
        <f>IF('ts2 frazionamento'!G54="","",'ts2 frazionamento'!G54)</f>
        <v>1</v>
      </c>
      <c r="E2" s="135">
        <f>IF('ts2 frazionamento'!H54="","",'ts2 frazionamento'!H54)</f>
        <v>2</v>
      </c>
      <c r="F2" s="135">
        <f>IF('ts2 frazionamento'!I54="","",'ts2 frazionamento'!I54)</f>
        <v>3</v>
      </c>
      <c r="G2" s="135">
        <f>IF('ts2 frazionamento'!J54="","",'ts2 frazionamento'!J54)</f>
        <v>4</v>
      </c>
      <c r="H2" s="135">
        <f>IF('ts2 frazionamento'!K54="","",'ts2 frazionamento'!K54)</f>
        <v>5</v>
      </c>
      <c r="I2" s="135">
        <f>IF('ts2 frazionamento'!L54="","",'ts2 frazionamento'!L54)</f>
        <v>6</v>
      </c>
      <c r="J2" s="135">
        <f>IF('ts2 frazionamento'!M54="","",'ts2 frazionamento'!M54)</f>
        <v>7</v>
      </c>
      <c r="K2" s="135">
        <f>IF('ts2 frazionamento'!N54="","",'ts2 frazionamento'!N54)</f>
        <v>8</v>
      </c>
      <c r="L2" s="135">
        <f>IF('ts2 frazionamento'!O54="","",'ts2 frazionamento'!O54)</f>
        <v>9</v>
      </c>
      <c r="M2" s="135">
        <f>IF('ts2 frazionamento'!P54="","",'ts2 frazionamento'!P54)</f>
        <v>10</v>
      </c>
      <c r="N2" s="135">
        <f>IF('ts2 frazionamento'!Q54="","",'ts2 frazionamento'!Q54)</f>
        <v>11</v>
      </c>
      <c r="O2" s="157">
        <f>IF('ts2 frazionamento'!R54="","",'ts2 frazionamento'!R54)</f>
        <v>12</v>
      </c>
    </row>
    <row r="3" spans="2:15" ht="15.75" thickTop="1" x14ac:dyDescent="0.25">
      <c r="B3" s="151" t="str">
        <f>IF('ts2 frazionamento'!E55="","",'ts2 frazionamento'!E55)</f>
        <v xml:space="preserve">Acquisizione </v>
      </c>
      <c r="C3" s="152">
        <f>IF('ts2 frazionamento'!F55="","",'ts2 frazionamento'!F55)</f>
        <v>-7800000</v>
      </c>
      <c r="D3" s="152">
        <f>IF('ts2 frazionamento'!G55="","",'ts2 frazionamento'!G55)</f>
        <v>-31200000</v>
      </c>
      <c r="E3" s="152">
        <f>IF('ts2 frazionamento'!H55="","",'ts2 frazionamento'!H55)</f>
        <v>0</v>
      </c>
      <c r="F3" s="152">
        <f>IF('ts2 frazionamento'!I55="","",'ts2 frazionamento'!I55)</f>
        <v>0</v>
      </c>
      <c r="G3" s="152">
        <f>IF('ts2 frazionamento'!J55="","",'ts2 frazionamento'!J55)</f>
        <v>0</v>
      </c>
      <c r="H3" s="152">
        <f>IF('ts2 frazionamento'!K55="","",'ts2 frazionamento'!K55)</f>
        <v>0</v>
      </c>
      <c r="I3" s="152">
        <f>IF('ts2 frazionamento'!L55="","",'ts2 frazionamento'!L55)</f>
        <v>0</v>
      </c>
      <c r="J3" s="152">
        <f>IF('ts2 frazionamento'!M55="","",'ts2 frazionamento'!M55)</f>
        <v>0</v>
      </c>
      <c r="K3" s="152">
        <f>IF('ts2 frazionamento'!N55="","",'ts2 frazionamento'!N55)</f>
        <v>0</v>
      </c>
      <c r="L3" s="152">
        <f>IF('ts2 frazionamento'!O55="","",'ts2 frazionamento'!O55)</f>
        <v>0</v>
      </c>
      <c r="M3" s="152">
        <f>IF('ts2 frazionamento'!P55="","",'ts2 frazionamento'!P55)</f>
        <v>0</v>
      </c>
      <c r="N3" s="152">
        <f>IF('ts2 frazionamento'!Q55="","",'ts2 frazionamento'!Q55)</f>
        <v>0</v>
      </c>
      <c r="O3" s="158">
        <f>IF('ts2 frazionamento'!R55="","",'ts2 frazionamento'!R55)</f>
        <v>0</v>
      </c>
    </row>
    <row r="4" spans="2:15" x14ac:dyDescent="0.25">
      <c r="B4" s="114" t="str">
        <f>IF('ts2 frazionamento'!E56="","",'ts2 frazionamento'!E56)</f>
        <v>Dismissione  Immobile 1</v>
      </c>
      <c r="C4" s="115" t="str">
        <f>IF('ts2 frazionamento'!F56="","",'ts2 frazionamento'!F56)</f>
        <v/>
      </c>
      <c r="D4" s="115">
        <f>IF('ts2 frazionamento'!G56="","",'ts2 frazionamento'!G56)</f>
        <v>0</v>
      </c>
      <c r="E4" s="115">
        <f>IF('ts2 frazionamento'!H56="","",'ts2 frazionamento'!H56)</f>
        <v>0</v>
      </c>
      <c r="F4" s="115">
        <f>IF('ts2 frazionamento'!I56="","",'ts2 frazionamento'!I56)</f>
        <v>0</v>
      </c>
      <c r="G4" s="115">
        <f>IF('ts2 frazionamento'!J56="","",'ts2 frazionamento'!J56)</f>
        <v>5950000</v>
      </c>
      <c r="H4" s="115">
        <f>IF('ts2 frazionamento'!K56="","",'ts2 frazionamento'!K56)</f>
        <v>0</v>
      </c>
      <c r="I4" s="115">
        <f>IF('ts2 frazionamento'!L56="","",'ts2 frazionamento'!L56)</f>
        <v>0</v>
      </c>
      <c r="J4" s="115">
        <f>IF('ts2 frazionamento'!M56="","",'ts2 frazionamento'!M56)</f>
        <v>0</v>
      </c>
      <c r="K4" s="115">
        <f>IF('ts2 frazionamento'!N56="","",'ts2 frazionamento'!N56)</f>
        <v>0</v>
      </c>
      <c r="L4" s="115">
        <f>IF('ts2 frazionamento'!O56="","",'ts2 frazionamento'!O56)</f>
        <v>0</v>
      </c>
      <c r="M4" s="115">
        <f>IF('ts2 frazionamento'!P56="","",'ts2 frazionamento'!P56)</f>
        <v>0</v>
      </c>
      <c r="N4" s="115">
        <f>IF('ts2 frazionamento'!Q56="","",'ts2 frazionamento'!Q56)</f>
        <v>0</v>
      </c>
      <c r="O4" s="159">
        <f>IF('ts2 frazionamento'!R56="","",'ts2 frazionamento'!R56)</f>
        <v>0</v>
      </c>
    </row>
    <row r="5" spans="2:15" x14ac:dyDescent="0.25">
      <c r="B5" s="114" t="str">
        <f>IF('ts2 frazionamento'!E57="","",'ts2 frazionamento'!E57)</f>
        <v>Dismissione  Immobile 2</v>
      </c>
      <c r="C5" s="115" t="str">
        <f>IF('ts2 frazionamento'!F57="","",'ts2 frazionamento'!F57)</f>
        <v/>
      </c>
      <c r="D5" s="115">
        <f>IF('ts2 frazionamento'!G57="","",'ts2 frazionamento'!G57)</f>
        <v>0</v>
      </c>
      <c r="E5" s="115">
        <f>IF('ts2 frazionamento'!H57="","",'ts2 frazionamento'!H57)</f>
        <v>0</v>
      </c>
      <c r="F5" s="115">
        <f>IF('ts2 frazionamento'!I57="","",'ts2 frazionamento'!I57)</f>
        <v>0</v>
      </c>
      <c r="G5" s="115">
        <f>IF('ts2 frazionamento'!J57="","",'ts2 frazionamento'!J57)</f>
        <v>0</v>
      </c>
      <c r="H5" s="115">
        <f>IF('ts2 frazionamento'!K57="","",'ts2 frazionamento'!K57)</f>
        <v>0</v>
      </c>
      <c r="I5" s="115">
        <f>IF('ts2 frazionamento'!L57="","",'ts2 frazionamento'!L57)</f>
        <v>8940000</v>
      </c>
      <c r="J5" s="115">
        <f>IF('ts2 frazionamento'!M57="","",'ts2 frazionamento'!M57)</f>
        <v>0</v>
      </c>
      <c r="K5" s="115">
        <f>IF('ts2 frazionamento'!N57="","",'ts2 frazionamento'!N57)</f>
        <v>0</v>
      </c>
      <c r="L5" s="115">
        <f>IF('ts2 frazionamento'!O57="","",'ts2 frazionamento'!O57)</f>
        <v>0</v>
      </c>
      <c r="M5" s="115">
        <f>IF('ts2 frazionamento'!P57="","",'ts2 frazionamento'!P57)</f>
        <v>0</v>
      </c>
      <c r="N5" s="115">
        <f>IF('ts2 frazionamento'!Q57="","",'ts2 frazionamento'!Q57)</f>
        <v>0</v>
      </c>
      <c r="O5" s="159">
        <f>IF('ts2 frazionamento'!R57="","",'ts2 frazionamento'!R57)</f>
        <v>0</v>
      </c>
    </row>
    <row r="6" spans="2:15" x14ac:dyDescent="0.25">
      <c r="B6" s="114" t="str">
        <f>IF('ts2 frazionamento'!E58="","",'ts2 frazionamento'!E58)</f>
        <v>Dismissione  Immobile 3</v>
      </c>
      <c r="C6" s="115" t="str">
        <f>IF('ts2 frazionamento'!F58="","",'ts2 frazionamento'!F58)</f>
        <v/>
      </c>
      <c r="D6" s="115">
        <f>IF('ts2 frazionamento'!G58="","",'ts2 frazionamento'!G58)</f>
        <v>0</v>
      </c>
      <c r="E6" s="115">
        <f>IF('ts2 frazionamento'!H58="","",'ts2 frazionamento'!H58)</f>
        <v>0</v>
      </c>
      <c r="F6" s="115">
        <f>IF('ts2 frazionamento'!I58="","",'ts2 frazionamento'!I58)</f>
        <v>0</v>
      </c>
      <c r="G6" s="115">
        <f>IF('ts2 frazionamento'!J58="","",'ts2 frazionamento'!J58)</f>
        <v>0</v>
      </c>
      <c r="H6" s="115">
        <f>IF('ts2 frazionamento'!K58="","",'ts2 frazionamento'!K58)</f>
        <v>0</v>
      </c>
      <c r="I6" s="115">
        <f>IF('ts2 frazionamento'!L58="","",'ts2 frazionamento'!L58)</f>
        <v>0</v>
      </c>
      <c r="J6" s="115">
        <f>IF('ts2 frazionamento'!M58="","",'ts2 frazionamento'!M58)</f>
        <v>3700000</v>
      </c>
      <c r="K6" s="115">
        <f>IF('ts2 frazionamento'!N58="","",'ts2 frazionamento'!N58)</f>
        <v>0</v>
      </c>
      <c r="L6" s="115">
        <f>IF('ts2 frazionamento'!O58="","",'ts2 frazionamento'!O58)</f>
        <v>0</v>
      </c>
      <c r="M6" s="115">
        <f>IF('ts2 frazionamento'!P58="","",'ts2 frazionamento'!P58)</f>
        <v>0</v>
      </c>
      <c r="N6" s="115">
        <f>IF('ts2 frazionamento'!Q58="","",'ts2 frazionamento'!Q58)</f>
        <v>0</v>
      </c>
      <c r="O6" s="159">
        <f>IF('ts2 frazionamento'!R58="","",'ts2 frazionamento'!R58)</f>
        <v>0</v>
      </c>
    </row>
    <row r="7" spans="2:15" x14ac:dyDescent="0.25">
      <c r="B7" s="114" t="str">
        <f>IF('ts2 frazionamento'!E59="","",'ts2 frazionamento'!E59)</f>
        <v>Dismissione  Immobile 4</v>
      </c>
      <c r="C7" s="115" t="str">
        <f>IF('ts2 frazionamento'!F59="","",'ts2 frazionamento'!F59)</f>
        <v/>
      </c>
      <c r="D7" s="115">
        <f>IF('ts2 frazionamento'!G59="","",'ts2 frazionamento'!G59)</f>
        <v>0</v>
      </c>
      <c r="E7" s="115">
        <f>IF('ts2 frazionamento'!H59="","",'ts2 frazionamento'!H59)</f>
        <v>0</v>
      </c>
      <c r="F7" s="115">
        <f>IF('ts2 frazionamento'!I59="","",'ts2 frazionamento'!I59)</f>
        <v>0</v>
      </c>
      <c r="G7" s="115">
        <f>IF('ts2 frazionamento'!J59="","",'ts2 frazionamento'!J59)</f>
        <v>0</v>
      </c>
      <c r="H7" s="115">
        <f>IF('ts2 frazionamento'!K59="","",'ts2 frazionamento'!K59)</f>
        <v>0</v>
      </c>
      <c r="I7" s="115">
        <f>IF('ts2 frazionamento'!L59="","",'ts2 frazionamento'!L59)</f>
        <v>0</v>
      </c>
      <c r="J7" s="115">
        <f>IF('ts2 frazionamento'!M59="","",'ts2 frazionamento'!M59)</f>
        <v>0</v>
      </c>
      <c r="K7" s="115">
        <f>IF('ts2 frazionamento'!N59="","",'ts2 frazionamento'!N59)</f>
        <v>17800000</v>
      </c>
      <c r="L7" s="115">
        <f>IF('ts2 frazionamento'!O59="","",'ts2 frazionamento'!O59)</f>
        <v>0</v>
      </c>
      <c r="M7" s="115">
        <f>IF('ts2 frazionamento'!P59="","",'ts2 frazionamento'!P59)</f>
        <v>0</v>
      </c>
      <c r="N7" s="115">
        <f>IF('ts2 frazionamento'!Q59="","",'ts2 frazionamento'!Q59)</f>
        <v>0</v>
      </c>
      <c r="O7" s="159">
        <f>IF('ts2 frazionamento'!R59="","",'ts2 frazionamento'!R59)</f>
        <v>0</v>
      </c>
    </row>
    <row r="8" spans="2:15" x14ac:dyDescent="0.25">
      <c r="B8" s="129" t="str">
        <f>IF('ts2 frazionamento'!E60="","",'ts2 frazionamento'!E60)</f>
        <v>Dismissione  Immobile 5</v>
      </c>
      <c r="C8" s="130" t="str">
        <f>IF('ts2 frazionamento'!F60="","",'ts2 frazionamento'!F60)</f>
        <v/>
      </c>
      <c r="D8" s="130">
        <f>IF('ts2 frazionamento'!G60="","",'ts2 frazionamento'!G60)</f>
        <v>0</v>
      </c>
      <c r="E8" s="130">
        <f>IF('ts2 frazionamento'!H60="","",'ts2 frazionamento'!H60)</f>
        <v>0</v>
      </c>
      <c r="F8" s="130">
        <f>IF('ts2 frazionamento'!I60="","",'ts2 frazionamento'!I60)</f>
        <v>0</v>
      </c>
      <c r="G8" s="130">
        <f>IF('ts2 frazionamento'!J60="","",'ts2 frazionamento'!J60)</f>
        <v>0</v>
      </c>
      <c r="H8" s="130">
        <f>IF('ts2 frazionamento'!K60="","",'ts2 frazionamento'!K60)</f>
        <v>0</v>
      </c>
      <c r="I8" s="130">
        <f>IF('ts2 frazionamento'!L60="","",'ts2 frazionamento'!L60)</f>
        <v>0</v>
      </c>
      <c r="J8" s="130">
        <f>IF('ts2 frazionamento'!M60="","",'ts2 frazionamento'!M60)</f>
        <v>0</v>
      </c>
      <c r="K8" s="130">
        <f>IF('ts2 frazionamento'!N60="","",'ts2 frazionamento'!N60)</f>
        <v>0</v>
      </c>
      <c r="L8" s="130">
        <f>IF('ts2 frazionamento'!O60="","",'ts2 frazionamento'!O60)</f>
        <v>0</v>
      </c>
      <c r="M8" s="130">
        <f>IF('ts2 frazionamento'!P60="","",'ts2 frazionamento'!P60)</f>
        <v>9900000</v>
      </c>
      <c r="N8" s="130">
        <f>IF('ts2 frazionamento'!Q60="","",'ts2 frazionamento'!Q60)</f>
        <v>0</v>
      </c>
      <c r="O8" s="160">
        <f>IF('ts2 frazionamento'!R60="","",'ts2 frazionamento'!R60)</f>
        <v>0</v>
      </c>
    </row>
    <row r="9" spans="2:15" x14ac:dyDescent="0.25">
      <c r="B9" s="154" t="str">
        <f>IF('ts2 frazionamento'!E61="","",'ts2 frazionamento'!E61)</f>
        <v>Flusso Investimento</v>
      </c>
      <c r="C9" s="155">
        <f>IF('ts2 frazionamento'!F61="","",'ts2 frazionamento'!F61)</f>
        <v>-7800000</v>
      </c>
      <c r="D9" s="155">
        <f>IF('ts2 frazionamento'!G61="","",'ts2 frazionamento'!G61)</f>
        <v>-31200000</v>
      </c>
      <c r="E9" s="155">
        <f>IF('ts2 frazionamento'!H61="","",'ts2 frazionamento'!H61)</f>
        <v>0</v>
      </c>
      <c r="F9" s="155">
        <f>IF('ts2 frazionamento'!I61="","",'ts2 frazionamento'!I61)</f>
        <v>0</v>
      </c>
      <c r="G9" s="155">
        <f>IF('ts2 frazionamento'!J61="","",'ts2 frazionamento'!J61)</f>
        <v>5950000</v>
      </c>
      <c r="H9" s="155">
        <f>IF('ts2 frazionamento'!K61="","",'ts2 frazionamento'!K61)</f>
        <v>0</v>
      </c>
      <c r="I9" s="155">
        <f>IF('ts2 frazionamento'!L61="","",'ts2 frazionamento'!L61)</f>
        <v>8940000</v>
      </c>
      <c r="J9" s="155">
        <f>IF('ts2 frazionamento'!M61="","",'ts2 frazionamento'!M61)</f>
        <v>3700000</v>
      </c>
      <c r="K9" s="155">
        <f>IF('ts2 frazionamento'!N61="","",'ts2 frazionamento'!N61)</f>
        <v>17800000</v>
      </c>
      <c r="L9" s="155">
        <f>IF('ts2 frazionamento'!O61="","",'ts2 frazionamento'!O61)</f>
        <v>0</v>
      </c>
      <c r="M9" s="155">
        <f>IF('ts2 frazionamento'!P61="","",'ts2 frazionamento'!P61)</f>
        <v>9900000</v>
      </c>
      <c r="N9" s="155">
        <f>IF('ts2 frazionamento'!Q61="","",'ts2 frazionamento'!Q61)</f>
        <v>0</v>
      </c>
      <c r="O9" s="161">
        <f>IF('ts2 frazionamento'!R61="","",'ts2 frazionamento'!R61)</f>
        <v>0</v>
      </c>
    </row>
    <row r="10" spans="2:15" x14ac:dyDescent="0.25">
      <c r="B10" s="114" t="str">
        <f>IF('ts2 frazionamento'!E62="","",'ts2 frazionamento'!E62)</f>
        <v>Canone Immobile 1</v>
      </c>
      <c r="C10" s="103" t="str">
        <f>IF('ts2 frazionamento'!F62="","",'ts2 frazionamento'!F62)</f>
        <v/>
      </c>
      <c r="D10" s="100">
        <f>IF('ts2 frazionamento'!G62="","",'ts2 frazionamento'!G62)</f>
        <v>89250</v>
      </c>
      <c r="E10" s="100">
        <f>IF('ts2 frazionamento'!H62="","",'ts2 frazionamento'!H62)</f>
        <v>89696.249999999985</v>
      </c>
      <c r="F10" s="100">
        <f>IF('ts2 frazionamento'!I62="","",'ts2 frazionamento'!I62)</f>
        <v>90144.731249999983</v>
      </c>
      <c r="G10" s="100">
        <f>IF('ts2 frazionamento'!J62="","",'ts2 frazionamento'!J62)</f>
        <v>0</v>
      </c>
      <c r="H10" s="100">
        <f>IF('ts2 frazionamento'!K62="","",'ts2 frazionamento'!K62)</f>
        <v>0</v>
      </c>
      <c r="I10" s="100">
        <f>IF('ts2 frazionamento'!L62="","",'ts2 frazionamento'!L62)</f>
        <v>0</v>
      </c>
      <c r="J10" s="100">
        <f>IF('ts2 frazionamento'!M62="","",'ts2 frazionamento'!M62)</f>
        <v>0</v>
      </c>
      <c r="K10" s="100">
        <f>IF('ts2 frazionamento'!N62="","",'ts2 frazionamento'!N62)</f>
        <v>0</v>
      </c>
      <c r="L10" s="100">
        <f>IF('ts2 frazionamento'!O62="","",'ts2 frazionamento'!O62)</f>
        <v>0</v>
      </c>
      <c r="M10" s="100">
        <f>IF('ts2 frazionamento'!P62="","",'ts2 frazionamento'!P62)</f>
        <v>0</v>
      </c>
      <c r="N10" s="100">
        <f>IF('ts2 frazionamento'!Q62="","",'ts2 frazionamento'!Q62)</f>
        <v>0</v>
      </c>
      <c r="O10" s="162">
        <f>IF('ts2 frazionamento'!R62="","",'ts2 frazionamento'!R62)</f>
        <v>0</v>
      </c>
    </row>
    <row r="11" spans="2:15" x14ac:dyDescent="0.25">
      <c r="B11" s="114" t="str">
        <f>IF('ts2 frazionamento'!E63="","",'ts2 frazionamento'!E63)</f>
        <v>Canone Immobile 2</v>
      </c>
      <c r="C11" s="103" t="str">
        <f>IF('ts2 frazionamento'!F63="","",'ts2 frazionamento'!F63)</f>
        <v/>
      </c>
      <c r="D11" s="100">
        <f>IF('ts2 frazionamento'!G63="","",'ts2 frazionamento'!G63)</f>
        <v>134100</v>
      </c>
      <c r="E11" s="100">
        <f>IF('ts2 frazionamento'!H63="","",'ts2 frazionamento'!H63)</f>
        <v>134770.5</v>
      </c>
      <c r="F11" s="100">
        <f>IF('ts2 frazionamento'!I63="","",'ts2 frazionamento'!I63)</f>
        <v>135444.35249999998</v>
      </c>
      <c r="G11" s="100">
        <f>IF('ts2 frazionamento'!J63="","",'ts2 frazionamento'!J63)</f>
        <v>136121.57426249995</v>
      </c>
      <c r="H11" s="100">
        <f>IF('ts2 frazionamento'!K63="","",'ts2 frazionamento'!K63)</f>
        <v>136802.18213381243</v>
      </c>
      <c r="I11" s="100">
        <f>IF('ts2 frazionamento'!L63="","",'ts2 frazionamento'!L63)</f>
        <v>0</v>
      </c>
      <c r="J11" s="100">
        <f>IF('ts2 frazionamento'!M63="","",'ts2 frazionamento'!M63)</f>
        <v>0</v>
      </c>
      <c r="K11" s="100">
        <f>IF('ts2 frazionamento'!N63="","",'ts2 frazionamento'!N63)</f>
        <v>0</v>
      </c>
      <c r="L11" s="100">
        <f>IF('ts2 frazionamento'!O63="","",'ts2 frazionamento'!O63)</f>
        <v>0</v>
      </c>
      <c r="M11" s="100">
        <f>IF('ts2 frazionamento'!P63="","",'ts2 frazionamento'!P63)</f>
        <v>0</v>
      </c>
      <c r="N11" s="100">
        <f>IF('ts2 frazionamento'!Q63="","",'ts2 frazionamento'!Q63)</f>
        <v>0</v>
      </c>
      <c r="O11" s="162">
        <f>IF('ts2 frazionamento'!R63="","",'ts2 frazionamento'!R63)</f>
        <v>0</v>
      </c>
    </row>
    <row r="12" spans="2:15" x14ac:dyDescent="0.25">
      <c r="B12" s="114" t="str">
        <f>IF('ts2 frazionamento'!E64="","",'ts2 frazionamento'!E64)</f>
        <v>Canone Immobile 3</v>
      </c>
      <c r="C12" s="103" t="str">
        <f>IF('ts2 frazionamento'!F64="","",'ts2 frazionamento'!F64)</f>
        <v/>
      </c>
      <c r="D12" s="100">
        <f>IF('ts2 frazionamento'!G64="","",'ts2 frazionamento'!G64)</f>
        <v>55500</v>
      </c>
      <c r="E12" s="100">
        <f>IF('ts2 frazionamento'!H64="","",'ts2 frazionamento'!H64)</f>
        <v>55777.499999999993</v>
      </c>
      <c r="F12" s="100">
        <f>IF('ts2 frazionamento'!I64="","",'ts2 frazionamento'!I64)</f>
        <v>56056.38749999999</v>
      </c>
      <c r="G12" s="100">
        <f>IF('ts2 frazionamento'!J64="","",'ts2 frazionamento'!J64)</f>
        <v>56336.669437499986</v>
      </c>
      <c r="H12" s="100">
        <f>IF('ts2 frazionamento'!K64="","",'ts2 frazionamento'!K64)</f>
        <v>56618.352784687479</v>
      </c>
      <c r="I12" s="100">
        <f>IF('ts2 frazionamento'!L64="","",'ts2 frazionamento'!L64)</f>
        <v>56901.444548610911</v>
      </c>
      <c r="J12" s="100">
        <f>IF('ts2 frazionamento'!M64="","",'ts2 frazionamento'!M64)</f>
        <v>0</v>
      </c>
      <c r="K12" s="100">
        <f>IF('ts2 frazionamento'!N64="","",'ts2 frazionamento'!N64)</f>
        <v>0</v>
      </c>
      <c r="L12" s="100">
        <f>IF('ts2 frazionamento'!O64="","",'ts2 frazionamento'!O64)</f>
        <v>0</v>
      </c>
      <c r="M12" s="100">
        <f>IF('ts2 frazionamento'!P64="","",'ts2 frazionamento'!P64)</f>
        <v>0</v>
      </c>
      <c r="N12" s="100">
        <f>IF('ts2 frazionamento'!Q64="","",'ts2 frazionamento'!Q64)</f>
        <v>0</v>
      </c>
      <c r="O12" s="162">
        <f>IF('ts2 frazionamento'!R64="","",'ts2 frazionamento'!R64)</f>
        <v>0</v>
      </c>
    </row>
    <row r="13" spans="2:15" x14ac:dyDescent="0.25">
      <c r="B13" s="114" t="str">
        <f>IF('ts2 frazionamento'!E65="","",'ts2 frazionamento'!E65)</f>
        <v>Canone Immobile 4</v>
      </c>
      <c r="C13" s="103" t="str">
        <f>IF('ts2 frazionamento'!F65="","",'ts2 frazionamento'!F65)</f>
        <v/>
      </c>
      <c r="D13" s="100">
        <f>IF('ts2 frazionamento'!G65="","",'ts2 frazionamento'!G65)</f>
        <v>267000</v>
      </c>
      <c r="E13" s="100">
        <f>IF('ts2 frazionamento'!H65="","",'ts2 frazionamento'!H65)</f>
        <v>268335</v>
      </c>
      <c r="F13" s="100">
        <f>IF('ts2 frazionamento'!I65="","",'ts2 frazionamento'!I65)</f>
        <v>269676.67499999999</v>
      </c>
      <c r="G13" s="100">
        <f>IF('ts2 frazionamento'!J65="","",'ts2 frazionamento'!J65)</f>
        <v>271025.05837499996</v>
      </c>
      <c r="H13" s="100">
        <f>IF('ts2 frazionamento'!K65="","",'ts2 frazionamento'!K65)</f>
        <v>272380.18366687495</v>
      </c>
      <c r="I13" s="100">
        <f>IF('ts2 frazionamento'!L65="","",'ts2 frazionamento'!L65)</f>
        <v>273742.08458520932</v>
      </c>
      <c r="J13" s="100">
        <f>IF('ts2 frazionamento'!M65="","",'ts2 frazionamento'!M65)</f>
        <v>275110.79500813532</v>
      </c>
      <c r="K13" s="100">
        <f>IF('ts2 frazionamento'!N65="","",'ts2 frazionamento'!N65)</f>
        <v>0</v>
      </c>
      <c r="L13" s="100">
        <f>IF('ts2 frazionamento'!O65="","",'ts2 frazionamento'!O65)</f>
        <v>0</v>
      </c>
      <c r="M13" s="100">
        <f>IF('ts2 frazionamento'!P65="","",'ts2 frazionamento'!P65)</f>
        <v>0</v>
      </c>
      <c r="N13" s="100">
        <f>IF('ts2 frazionamento'!Q65="","",'ts2 frazionamento'!Q65)</f>
        <v>0</v>
      </c>
      <c r="O13" s="162">
        <f>IF('ts2 frazionamento'!R65="","",'ts2 frazionamento'!R65)</f>
        <v>0</v>
      </c>
    </row>
    <row r="14" spans="2:15" x14ac:dyDescent="0.25">
      <c r="B14" s="129" t="str">
        <f>IF('ts2 frazionamento'!E66="","",'ts2 frazionamento'!E66)</f>
        <v>Canone Immobile 5</v>
      </c>
      <c r="C14" s="128" t="str">
        <f>IF('ts2 frazionamento'!F66="","",'ts2 frazionamento'!F66)</f>
        <v/>
      </c>
      <c r="D14" s="126">
        <f>IF('ts2 frazionamento'!G66="","",'ts2 frazionamento'!G66)</f>
        <v>148500</v>
      </c>
      <c r="E14" s="126">
        <f>IF('ts2 frazionamento'!H66="","",'ts2 frazionamento'!H66)</f>
        <v>149242.49999999997</v>
      </c>
      <c r="F14" s="126">
        <f>IF('ts2 frazionamento'!I66="","",'ts2 frazionamento'!I66)</f>
        <v>149988.71249999997</v>
      </c>
      <c r="G14" s="126">
        <f>IF('ts2 frazionamento'!J66="","",'ts2 frazionamento'!J66)</f>
        <v>150738.65606249994</v>
      </c>
      <c r="H14" s="126">
        <f>IF('ts2 frazionamento'!K66="","",'ts2 frazionamento'!K66)</f>
        <v>151492.34934281243</v>
      </c>
      <c r="I14" s="126">
        <f>IF('ts2 frazionamento'!L66="","",'ts2 frazionamento'!L66)</f>
        <v>152249.81108952648</v>
      </c>
      <c r="J14" s="126">
        <f>IF('ts2 frazionamento'!M66="","",'ts2 frazionamento'!M66)</f>
        <v>153011.06014497409</v>
      </c>
      <c r="K14" s="126">
        <f>IF('ts2 frazionamento'!N66="","",'ts2 frazionamento'!N66)</f>
        <v>153776.11544569896</v>
      </c>
      <c r="L14" s="126">
        <f>IF('ts2 frazionamento'!O66="","",'ts2 frazionamento'!O66)</f>
        <v>154544.99602292743</v>
      </c>
      <c r="M14" s="126">
        <f>IF('ts2 frazionamento'!P66="","",'ts2 frazionamento'!P66)</f>
        <v>0</v>
      </c>
      <c r="N14" s="126">
        <f>IF('ts2 frazionamento'!Q66="","",'ts2 frazionamento'!Q66)</f>
        <v>0</v>
      </c>
      <c r="O14" s="163">
        <f>IF('ts2 frazionamento'!R66="","",'ts2 frazionamento'!R66)</f>
        <v>0</v>
      </c>
    </row>
    <row r="15" spans="2:15" x14ac:dyDescent="0.25">
      <c r="B15" s="102" t="str">
        <f>IF('ts2 frazionamento'!E67="","",'ts2 frazionamento'!E67)</f>
        <v>Flusso Immobiliare</v>
      </c>
      <c r="C15" s="103">
        <f>IF('ts2 frazionamento'!F67="","",'ts2 frazionamento'!F67)</f>
        <v>-7800000</v>
      </c>
      <c r="D15" s="103">
        <f>IF('ts2 frazionamento'!G67="","",'ts2 frazionamento'!G67)</f>
        <v>-30505650</v>
      </c>
      <c r="E15" s="103">
        <f>IF('ts2 frazionamento'!H67="","",'ts2 frazionamento'!H67)</f>
        <v>697821.75</v>
      </c>
      <c r="F15" s="103">
        <f>IF('ts2 frazionamento'!I67="","",'ts2 frazionamento'!I67)</f>
        <v>701310.8587499999</v>
      </c>
      <c r="G15" s="103">
        <f>IF('ts2 frazionamento'!J67="","",'ts2 frazionamento'!J67)</f>
        <v>6564221.9581375001</v>
      </c>
      <c r="H15" s="103">
        <f>IF('ts2 frazionamento'!K67="","",'ts2 frazionamento'!K67)</f>
        <v>617293.06792818732</v>
      </c>
      <c r="I15" s="103">
        <f>IF('ts2 frazionamento'!L67="","",'ts2 frazionamento'!L67)</f>
        <v>9422893.3402233459</v>
      </c>
      <c r="J15" s="103">
        <f>IF('ts2 frazionamento'!M67="","",'ts2 frazionamento'!M67)</f>
        <v>4128121.8551531094</v>
      </c>
      <c r="K15" s="103">
        <f>IF('ts2 frazionamento'!N67="","",'ts2 frazionamento'!N67)</f>
        <v>17953776.1154457</v>
      </c>
      <c r="L15" s="103">
        <f>IF('ts2 frazionamento'!O67="","",'ts2 frazionamento'!O67)</f>
        <v>154544.99602292743</v>
      </c>
      <c r="M15" s="103">
        <f>IF('ts2 frazionamento'!P67="","",'ts2 frazionamento'!P67)</f>
        <v>9900000</v>
      </c>
      <c r="N15" s="103">
        <f>IF('ts2 frazionamento'!Q67="","",'ts2 frazionamento'!Q67)</f>
        <v>0</v>
      </c>
      <c r="O15" s="164">
        <f>IF('ts2 frazionamento'!R67="","",'ts2 frazionamento'!R67)</f>
        <v>0</v>
      </c>
    </row>
    <row r="16" spans="2:15" x14ac:dyDescent="0.25">
      <c r="B16" s="102" t="str">
        <f>IF('ts2 frazionamento'!E68="","",'ts2 frazionamento'!E68)</f>
        <v/>
      </c>
      <c r="C16" s="103" t="str">
        <f>IF('ts2 frazionamento'!F68="","",'ts2 frazionamento'!F68)</f>
        <v/>
      </c>
      <c r="D16" s="103" t="str">
        <f>IF('ts2 frazionamento'!G68="","",'ts2 frazionamento'!G68)</f>
        <v/>
      </c>
      <c r="E16" s="103" t="str">
        <f>IF('ts2 frazionamento'!H68="","",'ts2 frazionamento'!H68)</f>
        <v/>
      </c>
      <c r="F16" s="103" t="str">
        <f>IF('ts2 frazionamento'!I68="","",'ts2 frazionamento'!I68)</f>
        <v/>
      </c>
      <c r="G16" s="103" t="str">
        <f>IF('ts2 frazionamento'!J68="","",'ts2 frazionamento'!J68)</f>
        <v/>
      </c>
      <c r="H16" s="103" t="str">
        <f>IF('ts2 frazionamento'!K68="","",'ts2 frazionamento'!K68)</f>
        <v/>
      </c>
      <c r="I16" s="103" t="str">
        <f>IF('ts2 frazionamento'!L68="","",'ts2 frazionamento'!L68)</f>
        <v/>
      </c>
      <c r="J16" s="103" t="str">
        <f>IF('ts2 frazionamento'!M68="","",'ts2 frazionamento'!M68)</f>
        <v/>
      </c>
      <c r="K16" s="103" t="str">
        <f>IF('ts2 frazionamento'!N68="","",'ts2 frazionamento'!N68)</f>
        <v/>
      </c>
      <c r="L16" s="103" t="str">
        <f>IF('ts2 frazionamento'!O68="","",'ts2 frazionamento'!O68)</f>
        <v/>
      </c>
      <c r="M16" s="103" t="str">
        <f>IF('ts2 frazionamento'!P68="","",'ts2 frazionamento'!P68)</f>
        <v/>
      </c>
      <c r="N16" s="103" t="str">
        <f>IF('ts2 frazionamento'!Q68="","",'ts2 frazionamento'!Q68)</f>
        <v/>
      </c>
      <c r="O16" s="103" t="str">
        <f>IF('ts2 frazionamento'!R68="","",'ts2 frazionamento'!R68)</f>
        <v/>
      </c>
    </row>
    <row r="17" spans="2:15" ht="15.75" thickBot="1" x14ac:dyDescent="0.3">
      <c r="B17" s="131" t="str">
        <f>IF('ts2 frazionamento'!E69="","",'ts2 frazionamento'!E69)</f>
        <v>Posizione IVA</v>
      </c>
      <c r="C17" s="135">
        <f>IF('ts2 frazionamento'!F69="","",'ts2 frazionamento'!F69)</f>
        <v>0</v>
      </c>
      <c r="D17" s="135">
        <f>IF('ts2 frazionamento'!G69="","",'ts2 frazionamento'!G69)</f>
        <v>1</v>
      </c>
      <c r="E17" s="135">
        <f>IF('ts2 frazionamento'!H69="","",'ts2 frazionamento'!H69)</f>
        <v>2</v>
      </c>
      <c r="F17" s="135">
        <f>IF('ts2 frazionamento'!I69="","",'ts2 frazionamento'!I69)</f>
        <v>3</v>
      </c>
      <c r="G17" s="135">
        <f>IF('ts2 frazionamento'!J69="","",'ts2 frazionamento'!J69)</f>
        <v>4</v>
      </c>
      <c r="H17" s="135">
        <f>IF('ts2 frazionamento'!K69="","",'ts2 frazionamento'!K69)</f>
        <v>5</v>
      </c>
      <c r="I17" s="135">
        <f>IF('ts2 frazionamento'!L69="","",'ts2 frazionamento'!L69)</f>
        <v>6</v>
      </c>
      <c r="J17" s="135">
        <f>IF('ts2 frazionamento'!M69="","",'ts2 frazionamento'!M69)</f>
        <v>7</v>
      </c>
      <c r="K17" s="135">
        <f>IF('ts2 frazionamento'!N69="","",'ts2 frazionamento'!N69)</f>
        <v>8</v>
      </c>
      <c r="L17" s="135">
        <f>IF('ts2 frazionamento'!O69="","",'ts2 frazionamento'!O69)</f>
        <v>9</v>
      </c>
      <c r="M17" s="135">
        <f>IF('ts2 frazionamento'!P69="","",'ts2 frazionamento'!P69)</f>
        <v>10</v>
      </c>
      <c r="N17" s="135">
        <f>IF('ts2 frazionamento'!Q69="","",'ts2 frazionamento'!Q69)</f>
        <v>11</v>
      </c>
      <c r="O17" s="157">
        <f>IF('ts2 frazionamento'!R69="","",'ts2 frazionamento'!R69)</f>
        <v>12</v>
      </c>
    </row>
    <row r="18" spans="2:15" ht="15.75" thickTop="1" x14ac:dyDescent="0.25">
      <c r="B18" s="99" t="str">
        <f>IF('ts2 frazionamento'!E70="","",'ts2 frazionamento'!E70)</f>
        <v>IVA Periodo</v>
      </c>
      <c r="C18" s="100" t="str">
        <f>IF('ts2 frazionamento'!F70="","",'ts2 frazionamento'!F70)</f>
        <v/>
      </c>
      <c r="D18" s="100">
        <f>IF('ts2 frazionamento'!G70="","",'ts2 frazionamento'!G70)</f>
        <v>-8427243</v>
      </c>
      <c r="E18" s="100">
        <f>IF('ts2 frazionamento'!H70="","",'ts2 frazionamento'!H70)</f>
        <v>153520.785</v>
      </c>
      <c r="F18" s="100">
        <f>IF('ts2 frazionamento'!I70="","",'ts2 frazionamento'!I70)</f>
        <v>154288.38892499998</v>
      </c>
      <c r="G18" s="100">
        <f>IF('ts2 frazionamento'!J70="","",'ts2 frazionamento'!J70)</f>
        <v>1444128.8307902501</v>
      </c>
      <c r="H18" s="100">
        <f>IF('ts2 frazionamento'!K70="","",'ts2 frazionamento'!K70)</f>
        <v>135804.47494420121</v>
      </c>
      <c r="I18" s="100">
        <f>IF('ts2 frazionamento'!L70="","",'ts2 frazionamento'!L70)</f>
        <v>2073036.5348491361</v>
      </c>
      <c r="J18" s="100">
        <f>IF('ts2 frazionamento'!M70="","",'ts2 frazionamento'!M70)</f>
        <v>908186.8081336841</v>
      </c>
      <c r="K18" s="100">
        <f>IF('ts2 frazionamento'!N70="","",'ts2 frazionamento'!N70)</f>
        <v>3949830.7453980539</v>
      </c>
      <c r="L18" s="100">
        <f>IF('ts2 frazionamento'!O70="","",'ts2 frazionamento'!O70)</f>
        <v>33999.899125044038</v>
      </c>
      <c r="M18" s="100">
        <f>IF('ts2 frazionamento'!P70="","",'ts2 frazionamento'!P70)</f>
        <v>2178000</v>
      </c>
      <c r="N18" s="100">
        <f>IF('ts2 frazionamento'!Q70="","",'ts2 frazionamento'!Q70)</f>
        <v>0</v>
      </c>
      <c r="O18" s="162">
        <f>IF('ts2 frazionamento'!R70="","",'ts2 frazionamento'!R70)</f>
        <v>0</v>
      </c>
    </row>
    <row r="19" spans="2:15" x14ac:dyDescent="0.25">
      <c r="B19" s="99" t="str">
        <f>IF('ts2 frazionamento'!E71="","",'ts2 frazionamento'!E71)</f>
        <v/>
      </c>
      <c r="C19" s="100" t="str">
        <f>IF('ts2 frazionamento'!F71="","",'ts2 frazionamento'!F71)</f>
        <v/>
      </c>
      <c r="D19" s="100" t="str">
        <f>IF('ts2 frazionamento'!G71="","",'ts2 frazionamento'!G71)</f>
        <v/>
      </c>
      <c r="E19" s="100" t="str">
        <f>IF('ts2 frazionamento'!H71="","",'ts2 frazionamento'!H71)</f>
        <v/>
      </c>
      <c r="F19" s="100" t="str">
        <f>IF('ts2 frazionamento'!I71="","",'ts2 frazionamento'!I71)</f>
        <v/>
      </c>
      <c r="G19" s="100" t="str">
        <f>IF('ts2 frazionamento'!J71="","",'ts2 frazionamento'!J71)</f>
        <v/>
      </c>
      <c r="H19" s="100" t="str">
        <f>IF('ts2 frazionamento'!K71="","",'ts2 frazionamento'!K71)</f>
        <v/>
      </c>
      <c r="I19" s="113" t="str">
        <f>IF('ts2 frazionamento'!L71="","",'ts2 frazionamento'!L71)</f>
        <v/>
      </c>
      <c r="J19" s="100" t="str">
        <f>IF('ts2 frazionamento'!M71="","",'ts2 frazionamento'!M71)</f>
        <v/>
      </c>
      <c r="K19" s="100" t="str">
        <f>IF('ts2 frazionamento'!N71="","",'ts2 frazionamento'!N71)</f>
        <v/>
      </c>
      <c r="L19" s="100" t="str">
        <f>IF('ts2 frazionamento'!O71="","",'ts2 frazionamento'!O71)</f>
        <v/>
      </c>
      <c r="M19" s="100" t="str">
        <f>IF('ts2 frazionamento'!P71="","",'ts2 frazionamento'!P71)</f>
        <v/>
      </c>
      <c r="N19" s="100" t="str">
        <f>IF('ts2 frazionamento'!Q71="","",'ts2 frazionamento'!Q71)</f>
        <v/>
      </c>
      <c r="O19" s="162" t="str">
        <f>IF('ts2 frazionamento'!R71="","",'ts2 frazionamento'!R71)</f>
        <v/>
      </c>
    </row>
    <row r="20" spans="2:15" x14ac:dyDescent="0.25">
      <c r="B20" s="114" t="str">
        <f>IF('ts2 frazionamento'!E72="","",'ts2 frazionamento'!E72)</f>
        <v>Credito IVA Iniziale</v>
      </c>
      <c r="C20" s="100" t="str">
        <f>IF('ts2 frazionamento'!F72="","",'ts2 frazionamento'!F72)</f>
        <v/>
      </c>
      <c r="D20" s="115">
        <f>IF('ts2 frazionamento'!G72="","",'ts2 frazionamento'!G72)</f>
        <v>0</v>
      </c>
      <c r="E20" s="115">
        <f>IF('ts2 frazionamento'!H72="","",'ts2 frazionamento'!H72)</f>
        <v>8427243</v>
      </c>
      <c r="F20" s="115">
        <f>IF('ts2 frazionamento'!I72="","",'ts2 frazionamento'!I72)</f>
        <v>8273722.2149999999</v>
      </c>
      <c r="G20" s="115">
        <f>IF('ts2 frazionamento'!J72="","",'ts2 frazionamento'!J72)</f>
        <v>8119433.8260749998</v>
      </c>
      <c r="H20" s="115">
        <f>IF('ts2 frazionamento'!K72="","",'ts2 frazionamento'!K72)</f>
        <v>6675304.9952847492</v>
      </c>
      <c r="I20" s="115">
        <f>IF('ts2 frazionamento'!L72="","",'ts2 frazionamento'!L72)</f>
        <v>6539500.5203405479</v>
      </c>
      <c r="J20" s="115">
        <f>IF('ts2 frazionamento'!M72="","",'ts2 frazionamento'!M72)</f>
        <v>4466463.9854914118</v>
      </c>
      <c r="K20" s="115">
        <f>IF('ts2 frazionamento'!N72="","",'ts2 frazionamento'!N72)</f>
        <v>3558277.1773577277</v>
      </c>
      <c r="L20" s="115">
        <f>IF('ts2 frazionamento'!O72="","",'ts2 frazionamento'!O72)</f>
        <v>0</v>
      </c>
      <c r="M20" s="115">
        <f>IF('ts2 frazionamento'!P72="","",'ts2 frazionamento'!P72)</f>
        <v>0</v>
      </c>
      <c r="N20" s="115">
        <f>IF('ts2 frazionamento'!Q72="","",'ts2 frazionamento'!Q72)</f>
        <v>0</v>
      </c>
      <c r="O20" s="159">
        <f>IF('ts2 frazionamento'!R72="","",'ts2 frazionamento'!R72)</f>
        <v>0</v>
      </c>
    </row>
    <row r="21" spans="2:15" x14ac:dyDescent="0.25">
      <c r="B21" s="99" t="str">
        <f>IF('ts2 frazionamento'!E73="","",'ts2 frazionamento'!E73)</f>
        <v>IVA Versata</v>
      </c>
      <c r="C21" s="100">
        <f>IF('ts2 frazionamento'!F73="","",'ts2 frazionamento'!F73)</f>
        <v>0</v>
      </c>
      <c r="D21" s="100">
        <f>IF('ts2 frazionamento'!G73="","",'ts2 frazionamento'!G73)</f>
        <v>0</v>
      </c>
      <c r="E21" s="100">
        <f>IF('ts2 frazionamento'!H73="","",'ts2 frazionamento'!H73)</f>
        <v>0</v>
      </c>
      <c r="F21" s="100">
        <f>IF('ts2 frazionamento'!I73="","",'ts2 frazionamento'!I73)</f>
        <v>0</v>
      </c>
      <c r="G21" s="100">
        <f>IF('ts2 frazionamento'!J73="","",'ts2 frazionamento'!J73)</f>
        <v>0</v>
      </c>
      <c r="H21" s="100">
        <f>IF('ts2 frazionamento'!K73="","",'ts2 frazionamento'!K73)</f>
        <v>0</v>
      </c>
      <c r="I21" s="100">
        <f>IF('ts2 frazionamento'!L73="","",'ts2 frazionamento'!L73)</f>
        <v>0</v>
      </c>
      <c r="J21" s="100">
        <f>IF('ts2 frazionamento'!M73="","",'ts2 frazionamento'!M73)</f>
        <v>0</v>
      </c>
      <c r="K21" s="100">
        <f>IF('ts2 frazionamento'!N73="","",'ts2 frazionamento'!N73)</f>
        <v>-391553.56804032624</v>
      </c>
      <c r="L21" s="100">
        <f>IF('ts2 frazionamento'!O73="","",'ts2 frazionamento'!O73)</f>
        <v>-33999.899125044038</v>
      </c>
      <c r="M21" s="100">
        <f>IF('ts2 frazionamento'!P73="","",'ts2 frazionamento'!P73)</f>
        <v>-2178000</v>
      </c>
      <c r="N21" s="100">
        <f>IF('ts2 frazionamento'!Q73="","",'ts2 frazionamento'!Q73)</f>
        <v>0</v>
      </c>
      <c r="O21" s="162">
        <f>IF('ts2 frazionamento'!R73="","",'ts2 frazionamento'!R73)</f>
        <v>0</v>
      </c>
    </row>
    <row r="22" spans="2:15" x14ac:dyDescent="0.25">
      <c r="B22" s="99" t="str">
        <f>IF('ts2 frazionamento'!E74="","",'ts2 frazionamento'!E74)</f>
        <v>Incremento Credito</v>
      </c>
      <c r="C22" s="100">
        <f>IF('ts2 frazionamento'!F74="","",'ts2 frazionamento'!F74)</f>
        <v>0</v>
      </c>
      <c r="D22" s="100">
        <f>IF('ts2 frazionamento'!G74="","",'ts2 frazionamento'!G74)</f>
        <v>8427243</v>
      </c>
      <c r="E22" s="100">
        <f>IF('ts2 frazionamento'!H74="","",'ts2 frazionamento'!H74)</f>
        <v>0</v>
      </c>
      <c r="F22" s="100">
        <f>IF('ts2 frazionamento'!I74="","",'ts2 frazionamento'!I74)</f>
        <v>0</v>
      </c>
      <c r="G22" s="100">
        <f>IF('ts2 frazionamento'!J74="","",'ts2 frazionamento'!J74)</f>
        <v>0</v>
      </c>
      <c r="H22" s="100">
        <f>IF('ts2 frazionamento'!K74="","",'ts2 frazionamento'!K74)</f>
        <v>0</v>
      </c>
      <c r="I22" s="100">
        <f>IF('ts2 frazionamento'!L74="","",'ts2 frazionamento'!L74)</f>
        <v>0</v>
      </c>
      <c r="J22" s="100">
        <f>IF('ts2 frazionamento'!M74="","",'ts2 frazionamento'!M74)</f>
        <v>0</v>
      </c>
      <c r="K22" s="100">
        <f>IF('ts2 frazionamento'!N74="","",'ts2 frazionamento'!N74)</f>
        <v>0</v>
      </c>
      <c r="L22" s="100">
        <f>IF('ts2 frazionamento'!O74="","",'ts2 frazionamento'!O74)</f>
        <v>0</v>
      </c>
      <c r="M22" s="100">
        <f>IF('ts2 frazionamento'!P74="","",'ts2 frazionamento'!P74)</f>
        <v>0</v>
      </c>
      <c r="N22" s="100">
        <f>IF('ts2 frazionamento'!Q74="","",'ts2 frazionamento'!Q74)</f>
        <v>0</v>
      </c>
      <c r="O22" s="162">
        <f>IF('ts2 frazionamento'!R74="","",'ts2 frazionamento'!R74)</f>
        <v>0</v>
      </c>
    </row>
    <row r="23" spans="2:15" x14ac:dyDescent="0.25">
      <c r="B23" s="99" t="str">
        <f>IF('ts2 frazionamento'!E75="","",'ts2 frazionamento'!E75)</f>
        <v>IVA Intermedio</v>
      </c>
      <c r="C23" s="100">
        <f>IF('ts2 frazionamento'!F75="","",'ts2 frazionamento'!F75)</f>
        <v>0</v>
      </c>
      <c r="D23" s="100">
        <f>IF('ts2 frazionamento'!G75="","",'ts2 frazionamento'!G75)</f>
        <v>8427243</v>
      </c>
      <c r="E23" s="100">
        <f>IF('ts2 frazionamento'!H75="","",'ts2 frazionamento'!H75)</f>
        <v>8427243</v>
      </c>
      <c r="F23" s="100">
        <f>IF('ts2 frazionamento'!I75="","",'ts2 frazionamento'!I75)</f>
        <v>8273722.2149999999</v>
      </c>
      <c r="G23" s="100">
        <f>IF('ts2 frazionamento'!J75="","",'ts2 frazionamento'!J75)</f>
        <v>8119433.8260749998</v>
      </c>
      <c r="H23" s="100">
        <f>IF('ts2 frazionamento'!K75="","",'ts2 frazionamento'!K75)</f>
        <v>6675304.9952847492</v>
      </c>
      <c r="I23" s="100">
        <f>IF('ts2 frazionamento'!L75="","",'ts2 frazionamento'!L75)</f>
        <v>6539500.5203405479</v>
      </c>
      <c r="J23" s="100">
        <f>IF('ts2 frazionamento'!M75="","",'ts2 frazionamento'!M75)</f>
        <v>4466463.9854914118</v>
      </c>
      <c r="K23" s="100">
        <f>IF('ts2 frazionamento'!N75="","",'ts2 frazionamento'!N75)</f>
        <v>3558277.1773577277</v>
      </c>
      <c r="L23" s="100">
        <f>IF('ts2 frazionamento'!O75="","",'ts2 frazionamento'!O75)</f>
        <v>0</v>
      </c>
      <c r="M23" s="100">
        <f>IF('ts2 frazionamento'!P75="","",'ts2 frazionamento'!P75)</f>
        <v>0</v>
      </c>
      <c r="N23" s="100">
        <f>IF('ts2 frazionamento'!Q75="","",'ts2 frazionamento'!Q75)</f>
        <v>0</v>
      </c>
      <c r="O23" s="162">
        <f>IF('ts2 frazionamento'!R75="","",'ts2 frazionamento'!R75)</f>
        <v>0</v>
      </c>
    </row>
    <row r="24" spans="2:15" x14ac:dyDescent="0.25">
      <c r="B24" s="99" t="str">
        <f>IF('ts2 frazionamento'!E76="","",'ts2 frazionamento'!E76)</f>
        <v>Riduzione Credito</v>
      </c>
      <c r="C24" s="100">
        <f>IF('ts2 frazionamento'!F76="","",'ts2 frazionamento'!F76)</f>
        <v>0</v>
      </c>
      <c r="D24" s="100">
        <f>IF('ts2 frazionamento'!G76="","",'ts2 frazionamento'!G76)</f>
        <v>0</v>
      </c>
      <c r="E24" s="100">
        <f>IF('ts2 frazionamento'!H76="","",'ts2 frazionamento'!H76)</f>
        <v>153520.785</v>
      </c>
      <c r="F24" s="100">
        <f>IF('ts2 frazionamento'!I76="","",'ts2 frazionamento'!I76)</f>
        <v>154288.38892499998</v>
      </c>
      <c r="G24" s="100">
        <f>IF('ts2 frazionamento'!J76="","",'ts2 frazionamento'!J76)</f>
        <v>1444128.8307902501</v>
      </c>
      <c r="H24" s="100">
        <f>IF('ts2 frazionamento'!K76="","",'ts2 frazionamento'!K76)</f>
        <v>135804.47494420121</v>
      </c>
      <c r="I24" s="100">
        <f>IF('ts2 frazionamento'!L76="","",'ts2 frazionamento'!L76)</f>
        <v>2073036.5348491361</v>
      </c>
      <c r="J24" s="100">
        <f>IF('ts2 frazionamento'!M76="","",'ts2 frazionamento'!M76)</f>
        <v>908186.8081336841</v>
      </c>
      <c r="K24" s="100">
        <f>IF('ts2 frazionamento'!N76="","",'ts2 frazionamento'!N76)</f>
        <v>3558277.1773577277</v>
      </c>
      <c r="L24" s="100">
        <f>IF('ts2 frazionamento'!O76="","",'ts2 frazionamento'!O76)</f>
        <v>0</v>
      </c>
      <c r="M24" s="100">
        <f>IF('ts2 frazionamento'!P76="","",'ts2 frazionamento'!P76)</f>
        <v>0</v>
      </c>
      <c r="N24" s="100">
        <f>IF('ts2 frazionamento'!Q76="","",'ts2 frazionamento'!Q76)</f>
        <v>0</v>
      </c>
      <c r="O24" s="162">
        <f>IF('ts2 frazionamento'!R76="","",'ts2 frazionamento'!R76)</f>
        <v>0</v>
      </c>
    </row>
    <row r="25" spans="2:15" x14ac:dyDescent="0.25">
      <c r="B25" s="114" t="str">
        <f>IF('ts2 frazionamento'!E77="","",'ts2 frazionamento'!E77)</f>
        <v>Credito IVA Finale</v>
      </c>
      <c r="C25" s="100">
        <f>IF('ts2 frazionamento'!F77="","",'ts2 frazionamento'!F77)</f>
        <v>0</v>
      </c>
      <c r="D25" s="100">
        <f>IF('ts2 frazionamento'!G77="","",'ts2 frazionamento'!G77)</f>
        <v>8427243</v>
      </c>
      <c r="E25" s="100">
        <f>IF('ts2 frazionamento'!H77="","",'ts2 frazionamento'!H77)</f>
        <v>8273722.2149999999</v>
      </c>
      <c r="F25" s="100">
        <f>IF('ts2 frazionamento'!I77="","",'ts2 frazionamento'!I77)</f>
        <v>8119433.8260749998</v>
      </c>
      <c r="G25" s="100">
        <f>IF('ts2 frazionamento'!J77="","",'ts2 frazionamento'!J77)</f>
        <v>6675304.9952847492</v>
      </c>
      <c r="H25" s="100">
        <f>IF('ts2 frazionamento'!K77="","",'ts2 frazionamento'!K77)</f>
        <v>6539500.5203405479</v>
      </c>
      <c r="I25" s="100">
        <f>IF('ts2 frazionamento'!L77="","",'ts2 frazionamento'!L77)</f>
        <v>4466463.9854914118</v>
      </c>
      <c r="J25" s="100">
        <f>IF('ts2 frazionamento'!M77="","",'ts2 frazionamento'!M77)</f>
        <v>3558277.1773577277</v>
      </c>
      <c r="K25" s="100">
        <f>IF('ts2 frazionamento'!N77="","",'ts2 frazionamento'!N77)</f>
        <v>0</v>
      </c>
      <c r="L25" s="100">
        <f>IF('ts2 frazionamento'!O77="","",'ts2 frazionamento'!O77)</f>
        <v>0</v>
      </c>
      <c r="M25" s="100">
        <f>IF('ts2 frazionamento'!P77="","",'ts2 frazionamento'!P77)</f>
        <v>0</v>
      </c>
      <c r="N25" s="100">
        <f>IF('ts2 frazionamento'!Q77="","",'ts2 frazionamento'!Q77)</f>
        <v>0</v>
      </c>
      <c r="O25" s="162">
        <f>IF('ts2 frazionamento'!R77="","",'ts2 frazionamento'!R77)</f>
        <v>0</v>
      </c>
    </row>
    <row r="26" spans="2:15" x14ac:dyDescent="0.25">
      <c r="B26" s="114" t="str">
        <f>IF('ts2 frazionamento'!E78="","",'ts2 frazionamento'!E78)</f>
        <v/>
      </c>
      <c r="C26" s="115" t="str">
        <f>IF('ts2 frazionamento'!F78="","",'ts2 frazionamento'!F78)</f>
        <v/>
      </c>
      <c r="D26" s="115" t="str">
        <f>IF('ts2 frazionamento'!G78="","",'ts2 frazionamento'!G78)</f>
        <v/>
      </c>
      <c r="E26" s="115" t="str">
        <f>IF('ts2 frazionamento'!H78="","",'ts2 frazionamento'!H78)</f>
        <v/>
      </c>
      <c r="F26" s="115" t="str">
        <f>IF('ts2 frazionamento'!I78="","",'ts2 frazionamento'!I78)</f>
        <v/>
      </c>
      <c r="G26" s="115" t="str">
        <f>IF('ts2 frazionamento'!J78="","",'ts2 frazionamento'!J78)</f>
        <v/>
      </c>
      <c r="H26" s="115" t="str">
        <f>IF('ts2 frazionamento'!K78="","",'ts2 frazionamento'!K78)</f>
        <v/>
      </c>
      <c r="I26" s="115" t="str">
        <f>IF('ts2 frazionamento'!L78="","",'ts2 frazionamento'!L78)</f>
        <v/>
      </c>
      <c r="J26" s="115" t="str">
        <f>IF('ts2 frazionamento'!M78="","",'ts2 frazionamento'!M78)</f>
        <v/>
      </c>
      <c r="K26" s="115" t="str">
        <f>IF('ts2 frazionamento'!N78="","",'ts2 frazionamento'!N78)</f>
        <v/>
      </c>
      <c r="L26" s="115" t="str">
        <f>IF('ts2 frazionamento'!O78="","",'ts2 frazionamento'!O78)</f>
        <v/>
      </c>
      <c r="M26" s="115" t="str">
        <f>IF('ts2 frazionamento'!P78="","",'ts2 frazionamento'!P78)</f>
        <v/>
      </c>
      <c r="N26" s="115" t="str">
        <f>IF('ts2 frazionamento'!Q78="","",'ts2 frazionamento'!Q78)</f>
        <v/>
      </c>
      <c r="O26" s="159" t="str">
        <f>IF('ts2 frazionamento'!R78="","",'ts2 frazionamento'!R78)</f>
        <v/>
      </c>
    </row>
    <row r="27" spans="2:15" ht="15.75" thickBot="1" x14ac:dyDescent="0.3">
      <c r="B27" s="114" t="str">
        <f>IF('ts2 frazionamento'!E79="","",'ts2 frazionamento'!E79)</f>
        <v>Flusso IVA</v>
      </c>
      <c r="C27" s="115">
        <f>IF('ts2 frazionamento'!F79="","",'ts2 frazionamento'!F79)</f>
        <v>0</v>
      </c>
      <c r="D27" s="115">
        <f>IF('ts2 frazionamento'!G79="","",'ts2 frazionamento'!G79)</f>
        <v>-8427243</v>
      </c>
      <c r="E27" s="115">
        <f>IF('ts2 frazionamento'!H79="","",'ts2 frazionamento'!H79)</f>
        <v>153520.785</v>
      </c>
      <c r="F27" s="115">
        <f>IF('ts2 frazionamento'!I79="","",'ts2 frazionamento'!I79)</f>
        <v>154288.38892499998</v>
      </c>
      <c r="G27" s="115">
        <f>IF('ts2 frazionamento'!J79="","",'ts2 frazionamento'!J79)</f>
        <v>1444128.8307902501</v>
      </c>
      <c r="H27" s="115">
        <f>IF('ts2 frazionamento'!K79="","",'ts2 frazionamento'!K79)</f>
        <v>135804.47494420121</v>
      </c>
      <c r="I27" s="115">
        <f>IF('ts2 frazionamento'!L79="","",'ts2 frazionamento'!L79)</f>
        <v>2073036.5348491361</v>
      </c>
      <c r="J27" s="115">
        <f>IF('ts2 frazionamento'!M79="","",'ts2 frazionamento'!M79)</f>
        <v>908186.8081336841</v>
      </c>
      <c r="K27" s="115">
        <f>IF('ts2 frazionamento'!N79="","",'ts2 frazionamento'!N79)</f>
        <v>3558277.1773577277</v>
      </c>
      <c r="L27" s="115">
        <f>IF('ts2 frazionamento'!O79="","",'ts2 frazionamento'!O79)</f>
        <v>0</v>
      </c>
      <c r="M27" s="115">
        <f>IF('ts2 frazionamento'!P79="","",'ts2 frazionamento'!P79)</f>
        <v>0</v>
      </c>
      <c r="N27" s="115">
        <f>IF('ts2 frazionamento'!Q79="","",'ts2 frazionamento'!Q79)</f>
        <v>0</v>
      </c>
      <c r="O27" s="159">
        <f>IF('ts2 frazionamento'!R79="","",'ts2 frazionamento'!R79)</f>
        <v>0</v>
      </c>
    </row>
    <row r="28" spans="2:15" ht="15.75" thickBot="1" x14ac:dyDescent="0.3">
      <c r="B28" s="187" t="str">
        <f>IF('ts2 frazionamento'!E80="","",'ts2 frazionamento'!E80)</f>
        <v>Flusso Operativo con IVA</v>
      </c>
      <c r="C28" s="188">
        <f>IF('ts2 frazionamento'!F80="","",'ts2 frazionamento'!F80)</f>
        <v>-7800000</v>
      </c>
      <c r="D28" s="188">
        <f>IF('ts2 frazionamento'!G80="","",'ts2 frazionamento'!G80)</f>
        <v>-38932893</v>
      </c>
      <c r="E28" s="188">
        <f>IF('ts2 frazionamento'!H80="","",'ts2 frazionamento'!H80)</f>
        <v>851342.53500000003</v>
      </c>
      <c r="F28" s="188">
        <f>IF('ts2 frazionamento'!I80="","",'ts2 frazionamento'!I80)</f>
        <v>855599.24767499988</v>
      </c>
      <c r="G28" s="188">
        <f>IF('ts2 frazionamento'!J80="","",'ts2 frazionamento'!J80)</f>
        <v>8008350.7889277507</v>
      </c>
      <c r="H28" s="188">
        <f>IF('ts2 frazionamento'!K80="","",'ts2 frazionamento'!K80)</f>
        <v>753097.5428723885</v>
      </c>
      <c r="I28" s="188">
        <f>IF('ts2 frazionamento'!L80="","",'ts2 frazionamento'!L80)</f>
        <v>11495929.875072483</v>
      </c>
      <c r="J28" s="188">
        <f>IF('ts2 frazionamento'!M80="","",'ts2 frazionamento'!M80)</f>
        <v>5036308.663286794</v>
      </c>
      <c r="K28" s="188">
        <f>IF('ts2 frazionamento'!N80="","",'ts2 frazionamento'!N80)</f>
        <v>21512053.292803429</v>
      </c>
      <c r="L28" s="188">
        <f>IF('ts2 frazionamento'!O80="","",'ts2 frazionamento'!O80)</f>
        <v>154544.99602292743</v>
      </c>
      <c r="M28" s="188">
        <f>IF('ts2 frazionamento'!P80="","",'ts2 frazionamento'!P80)</f>
        <v>9900000</v>
      </c>
      <c r="N28" s="188">
        <f>IF('ts2 frazionamento'!Q80="","",'ts2 frazionamento'!Q80)</f>
        <v>0</v>
      </c>
      <c r="O28" s="189">
        <f>IF('ts2 frazionamento'!R80="","",'ts2 frazionamento'!R80)</f>
        <v>0</v>
      </c>
    </row>
    <row r="29" spans="2:15" x14ac:dyDescent="0.25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2:15" x14ac:dyDescent="0.25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44" spans="2:3" s="58" customFormat="1" x14ac:dyDescent="0.25">
      <c r="B44" s="20"/>
      <c r="C44" s="59"/>
    </row>
    <row r="45" spans="2:3" s="58" customFormat="1" x14ac:dyDescent="0.25">
      <c r="B45" s="20"/>
      <c r="C45" s="59"/>
    </row>
  </sheetData>
  <conditionalFormatting sqref="C2:O28">
    <cfRule type="cellIs" dxfId="16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2">
    <tabColor rgb="FFFFFF00"/>
  </sheetPr>
  <dimension ref="B2:F10"/>
  <sheetViews>
    <sheetView showGridLines="0" workbookViewId="0">
      <selection activeCell="F10" sqref="B2:F10"/>
    </sheetView>
  </sheetViews>
  <sheetFormatPr defaultColWidth="8.85546875" defaultRowHeight="15" x14ac:dyDescent="0.25"/>
  <cols>
    <col min="1" max="1" width="8.85546875" style="20"/>
    <col min="2" max="2" width="25" style="59" bestFit="1" customWidth="1"/>
    <col min="3" max="5" width="12.42578125" style="58" bestFit="1" customWidth="1"/>
    <col min="6" max="6" width="11.28515625" style="58" bestFit="1" customWidth="1"/>
    <col min="7" max="16384" width="8.85546875" style="20"/>
  </cols>
  <sheetData>
    <row r="2" spans="2:6" ht="15.75" thickBot="1" x14ac:dyDescent="0.3">
      <c r="B2" s="48" t="str">
        <f>'ts2 frazionamento'!E14</f>
        <v xml:space="preserve">Linea </v>
      </c>
      <c r="C2" s="36" t="str">
        <f>'ts2 frazionamento'!F14</f>
        <v>A1</v>
      </c>
      <c r="D2" s="36" t="str">
        <f>'ts2 frazionamento'!G14</f>
        <v>A2</v>
      </c>
      <c r="E2" s="36" t="str">
        <f>'ts2 frazionamento'!H14</f>
        <v>A3</v>
      </c>
      <c r="F2" s="36" t="str">
        <f>'ts2 frazionamento'!I14</f>
        <v>B (IVA)</v>
      </c>
    </row>
    <row r="3" spans="2:6" ht="15.75" thickTop="1" x14ac:dyDescent="0.25">
      <c r="B3" s="50" t="str">
        <f>'ts2 frazionamento'!E15</f>
        <v>Valore assoluto</v>
      </c>
      <c r="C3" s="40">
        <f>'ts2 frazionamento'!F15</f>
        <v>10000000</v>
      </c>
      <c r="D3" s="40">
        <f>'ts2 frazionamento'!G15</f>
        <v>10000000</v>
      </c>
      <c r="E3" s="40">
        <f>'ts2 frazionamento'!H15</f>
        <v>10000000</v>
      </c>
      <c r="F3" s="40">
        <f>'ts2 frazionamento'!I15</f>
        <v>8000000</v>
      </c>
    </row>
    <row r="4" spans="2:6" x14ac:dyDescent="0.25">
      <c r="B4" s="50" t="str">
        <f>'ts2 frazionamento'!E16</f>
        <v>Vincolo LTV %</v>
      </c>
      <c r="C4" s="46">
        <f>'ts2 frazionamento'!F16</f>
        <v>0.4</v>
      </c>
      <c r="D4" s="46">
        <f>'ts2 frazionamento'!G16</f>
        <v>0.6</v>
      </c>
      <c r="E4" s="46">
        <f>'ts2 frazionamento'!H16</f>
        <v>0.7</v>
      </c>
      <c r="F4" s="37"/>
    </row>
    <row r="5" spans="2:6" x14ac:dyDescent="0.25">
      <c r="B5" s="50" t="str">
        <f>'ts2 frazionamento'!E17</f>
        <v>Vincolo LTV</v>
      </c>
      <c r="C5" s="40">
        <f>'ts2 frazionamento'!F17</f>
        <v>18516000</v>
      </c>
      <c r="D5" s="40">
        <f>'ts2 frazionamento'!G17</f>
        <v>27774000</v>
      </c>
      <c r="E5" s="40">
        <f>'ts2 frazionamento'!H17</f>
        <v>32402999.999999996</v>
      </c>
      <c r="F5" s="37"/>
    </row>
    <row r="6" spans="2:6" x14ac:dyDescent="0.25">
      <c r="B6" s="50" t="str">
        <f>'ts2 frazionamento'!E18</f>
        <v>Vincolo LTC %</v>
      </c>
      <c r="C6" s="46"/>
      <c r="D6" s="46"/>
      <c r="E6" s="46">
        <f>'ts2 frazionamento'!H18</f>
        <v>0.8</v>
      </c>
      <c r="F6" s="37"/>
    </row>
    <row r="7" spans="2:6" x14ac:dyDescent="0.25">
      <c r="B7" s="50" t="str">
        <f>'ts2 frazionamento'!E19</f>
        <v>Vincolo LTC</v>
      </c>
      <c r="C7" s="41"/>
      <c r="D7" s="41"/>
      <c r="E7" s="40">
        <f>'ts2 frazionamento'!H19</f>
        <v>31200000</v>
      </c>
      <c r="F7" s="37"/>
    </row>
    <row r="8" spans="2:6" x14ac:dyDescent="0.25">
      <c r="B8" s="50" t="str">
        <f>'ts2 frazionamento'!E20</f>
        <v>Differenza Linee precedenti</v>
      </c>
      <c r="C8" s="41"/>
      <c r="D8" s="40">
        <f>'ts2 frazionamento'!G20</f>
        <v>17774000</v>
      </c>
      <c r="E8" s="40">
        <f>'ts2 frazionamento'!H20</f>
        <v>11200000</v>
      </c>
      <c r="F8" s="37"/>
    </row>
    <row r="9" spans="2:6" x14ac:dyDescent="0.25">
      <c r="B9" s="51" t="str">
        <f>'ts2 frazionamento'!E21</f>
        <v>IVA</v>
      </c>
      <c r="C9" s="56"/>
      <c r="D9" s="43"/>
      <c r="E9" s="43"/>
      <c r="F9" s="39">
        <f>'ts2 frazionamento'!I21</f>
        <v>8580000</v>
      </c>
    </row>
    <row r="10" spans="2:6" x14ac:dyDescent="0.25">
      <c r="B10" s="49" t="str">
        <f>'ts2 frazionamento'!E22</f>
        <v>Importo erogato</v>
      </c>
      <c r="C10" s="38">
        <f>'ts2 frazionamento'!F22</f>
        <v>10000000</v>
      </c>
      <c r="D10" s="38">
        <f>'ts2 frazionamento'!G22</f>
        <v>10000000</v>
      </c>
      <c r="E10" s="38">
        <f>'ts2 frazionamento'!H22</f>
        <v>10000000</v>
      </c>
      <c r="F10" s="38">
        <f>'ts2 frazionamento'!I22</f>
        <v>8000000</v>
      </c>
    </row>
  </sheetData>
  <phoneticPr fontId="19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3">
    <tabColor rgb="FFFFFF00"/>
  </sheetPr>
  <dimension ref="B2:K8"/>
  <sheetViews>
    <sheetView showGridLines="0" workbookViewId="0">
      <selection activeCell="B2" sqref="B2:F8"/>
    </sheetView>
  </sheetViews>
  <sheetFormatPr defaultColWidth="9.140625" defaultRowHeight="15" x14ac:dyDescent="0.25"/>
  <cols>
    <col min="1" max="1" width="9.140625" style="20"/>
    <col min="2" max="2" width="11.140625" style="59" bestFit="1" customWidth="1"/>
    <col min="3" max="3" width="11.85546875" style="58" bestFit="1" customWidth="1"/>
    <col min="4" max="4" width="9.85546875" style="58" bestFit="1" customWidth="1"/>
    <col min="5" max="5" width="11.85546875" style="58" bestFit="1" customWidth="1"/>
    <col min="6" max="6" width="15.85546875" style="58" bestFit="1" customWidth="1"/>
    <col min="7" max="7" width="21.5703125" style="20" customWidth="1"/>
    <col min="8" max="16384" width="9.140625" style="20"/>
  </cols>
  <sheetData>
    <row r="2" spans="2:11" ht="15.75" thickBot="1" x14ac:dyDescent="0.3">
      <c r="B2" s="74"/>
      <c r="C2" s="68" t="str">
        <f>'ts2 frazionamento'!G5</f>
        <v>Valutazione</v>
      </c>
      <c r="D2" s="68" t="str">
        <f>'ts2 frazionamento'!I5</f>
        <v>% Valore</v>
      </c>
      <c r="E2" s="68" t="str">
        <f>'ts2 frazionamento'!J5</f>
        <v>ALA</v>
      </c>
      <c r="F2" s="76" t="str">
        <f>'ts2 frazionamento'!K5</f>
        <v>Release Pricing</v>
      </c>
      <c r="G2" s="24"/>
      <c r="H2" s="24"/>
      <c r="I2" s="24"/>
      <c r="J2" s="24"/>
      <c r="K2" s="24"/>
    </row>
    <row r="3" spans="2:11" ht="15.75" thickTop="1" x14ac:dyDescent="0.25">
      <c r="B3" s="50" t="str">
        <f>'ts2 frazionamento'!E6</f>
        <v>Immobile 1</v>
      </c>
      <c r="C3" s="37">
        <f>'ts2 frazionamento'!G6</f>
        <v>5950000</v>
      </c>
      <c r="D3" s="69">
        <f>'ts2 frazionamento'!I6</f>
        <v>0.12853748109742924</v>
      </c>
      <c r="E3" s="37">
        <f>'ts2 frazionamento'!J6</f>
        <v>3856124.4329228774</v>
      </c>
      <c r="F3" s="37">
        <f>'ts2 frazionamento'!K6</f>
        <v>4627349.3195074527</v>
      </c>
      <c r="G3" s="24"/>
      <c r="H3" s="24"/>
      <c r="I3" s="24"/>
      <c r="J3" s="24"/>
      <c r="K3" s="24"/>
    </row>
    <row r="4" spans="2:11" x14ac:dyDescent="0.25">
      <c r="B4" s="50" t="str">
        <f>'ts2 frazionamento'!E7</f>
        <v>Immobile 2</v>
      </c>
      <c r="C4" s="37">
        <f>'ts2 frazionamento'!G7</f>
        <v>8940000</v>
      </c>
      <c r="D4" s="69">
        <f>'ts2 frazionamento'!I7</f>
        <v>0.19313026571613739</v>
      </c>
      <c r="E4" s="37">
        <f>'ts2 frazionamento'!J7</f>
        <v>5793907.9714841219</v>
      </c>
      <c r="F4" s="37">
        <f>'ts2 frazionamento'!K7</f>
        <v>6952689.5657809461</v>
      </c>
      <c r="G4" s="24"/>
      <c r="H4" s="24"/>
      <c r="I4" s="24"/>
      <c r="J4" s="24"/>
      <c r="K4" s="24"/>
    </row>
    <row r="5" spans="2:11" x14ac:dyDescent="0.25">
      <c r="B5" s="50" t="str">
        <f>'ts2 frazionamento'!E8</f>
        <v>Immobile 3</v>
      </c>
      <c r="C5" s="37">
        <f>'ts2 frazionamento'!G8</f>
        <v>3700000</v>
      </c>
      <c r="D5" s="69">
        <f>'ts2 frazionamento'!I8</f>
        <v>7.9930870598401385E-2</v>
      </c>
      <c r="E5" s="37">
        <f>'ts2 frazionamento'!J8</f>
        <v>2397926.1179520413</v>
      </c>
      <c r="F5" s="37">
        <f>'ts2 frazionamento'!K8</f>
        <v>2877511.3415424493</v>
      </c>
      <c r="G5" s="24"/>
      <c r="H5" s="24"/>
      <c r="I5" s="24"/>
      <c r="J5" s="24"/>
      <c r="K5" s="24"/>
    </row>
    <row r="6" spans="2:11" x14ac:dyDescent="0.25">
      <c r="B6" s="50" t="str">
        <f>'ts2 frazionamento'!E9</f>
        <v>Immobile 4</v>
      </c>
      <c r="C6" s="37">
        <f>'ts2 frazionamento'!G9</f>
        <v>17800000</v>
      </c>
      <c r="D6" s="69">
        <f>'ts2 frazionamento'!I9</f>
        <v>0.38453229639230935</v>
      </c>
      <c r="E6" s="37">
        <f>'ts2 frazionamento'!J9</f>
        <v>11535968.891769281</v>
      </c>
      <c r="F6" s="37">
        <f>'ts2 frazionamento'!K9</f>
        <v>13843162.670123136</v>
      </c>
      <c r="G6" s="24"/>
      <c r="H6" s="24"/>
      <c r="I6" s="24"/>
      <c r="J6" s="24"/>
      <c r="K6" s="24"/>
    </row>
    <row r="7" spans="2:11" x14ac:dyDescent="0.25">
      <c r="B7" s="51" t="str">
        <f>'ts2 frazionamento'!E10</f>
        <v>Immobile 5</v>
      </c>
      <c r="C7" s="39">
        <f>'ts2 frazionamento'!G10</f>
        <v>9900000</v>
      </c>
      <c r="D7" s="75">
        <f>'ts2 frazionamento'!I10</f>
        <v>0.21386908619572262</v>
      </c>
      <c r="E7" s="39">
        <f>'ts2 frazionamento'!J10</f>
        <v>6416072.5858716788</v>
      </c>
      <c r="F7" s="39">
        <f>'ts2 frazionamento'!K10</f>
        <v>7699287.103046014</v>
      </c>
      <c r="G7" s="24"/>
      <c r="H7" s="24"/>
      <c r="I7" s="24"/>
      <c r="J7" s="24"/>
      <c r="K7" s="24"/>
    </row>
    <row r="8" spans="2:11" x14ac:dyDescent="0.25">
      <c r="B8" s="49" t="str">
        <f>'ts2 frazionamento'!E11</f>
        <v>Portafoglio</v>
      </c>
      <c r="C8" s="38">
        <f>'ts2 frazionamento'!G11</f>
        <v>46290000</v>
      </c>
      <c r="D8" s="73">
        <f>'ts2 frazionamento'!I11</f>
        <v>1</v>
      </c>
      <c r="E8" s="38">
        <f>'ts2 frazionamento'!J11</f>
        <v>29999999.999999996</v>
      </c>
      <c r="F8" s="38">
        <f>'ts2 frazionamento'!K11</f>
        <v>36000000</v>
      </c>
      <c r="G8" s="24"/>
      <c r="H8" s="24"/>
      <c r="I8" s="24"/>
      <c r="J8" s="24"/>
      <c r="K8" s="24"/>
    </row>
  </sheetData>
  <phoneticPr fontId="19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16">
    <tabColor rgb="FFFFFF00"/>
  </sheetPr>
  <dimension ref="B2:O13"/>
  <sheetViews>
    <sheetView showGridLines="0" workbookViewId="0">
      <selection activeCell="B2" sqref="B2:M8"/>
    </sheetView>
  </sheetViews>
  <sheetFormatPr defaultColWidth="9.140625" defaultRowHeight="15" x14ac:dyDescent="0.25"/>
  <cols>
    <col min="1" max="1" width="9.140625" style="20"/>
    <col min="2" max="2" width="14" style="59" bestFit="1" customWidth="1"/>
    <col min="3" max="6" width="2.7109375" style="58" bestFit="1" customWidth="1"/>
    <col min="7" max="7" width="10.7109375" style="58" bestFit="1" customWidth="1"/>
    <col min="8" max="8" width="2.7109375" style="58" bestFit="1" customWidth="1"/>
    <col min="9" max="10" width="10.7109375" style="58" bestFit="1" customWidth="1"/>
    <col min="11" max="11" width="11.85546875" style="58" bestFit="1" customWidth="1"/>
    <col min="12" max="12" width="2.7109375" style="58" bestFit="1" customWidth="1"/>
    <col min="13" max="13" width="10.7109375" style="58" bestFit="1" customWidth="1"/>
    <col min="14" max="15" width="9.140625" style="58"/>
    <col min="16" max="16384" width="9.140625" style="20"/>
  </cols>
  <sheetData>
    <row r="2" spans="2:13" ht="15.75" thickBot="1" x14ac:dyDescent="0.3">
      <c r="B2" s="95" t="s">
        <v>91</v>
      </c>
      <c r="C2" s="36"/>
      <c r="D2" s="36">
        <f>'ts2 frazionamento'!G83</f>
        <v>1</v>
      </c>
      <c r="E2" s="36">
        <f>'ts2 frazionamento'!H83</f>
        <v>2</v>
      </c>
      <c r="F2" s="36">
        <f>'ts2 frazionamento'!I83</f>
        <v>3</v>
      </c>
      <c r="G2" s="36">
        <f>'ts2 frazionamento'!J83</f>
        <v>4</v>
      </c>
      <c r="H2" s="36">
        <f>'ts2 frazionamento'!K83</f>
        <v>5</v>
      </c>
      <c r="I2" s="36">
        <f>'ts2 frazionamento'!L83</f>
        <v>6</v>
      </c>
      <c r="J2" s="36">
        <f>'ts2 frazionamento'!M83</f>
        <v>7</v>
      </c>
      <c r="K2" s="36">
        <f>'ts2 frazionamento'!N83</f>
        <v>8</v>
      </c>
      <c r="L2" s="36">
        <f>'ts2 frazionamento'!O83</f>
        <v>9</v>
      </c>
      <c r="M2" s="36">
        <f>'ts2 frazionamento'!P83</f>
        <v>10</v>
      </c>
    </row>
    <row r="3" spans="2:13" ht="15.75" thickTop="1" x14ac:dyDescent="0.25">
      <c r="B3" s="50" t="str">
        <f>'ts2 frazionamento'!E84</f>
        <v>Immobile 1</v>
      </c>
      <c r="C3" s="37"/>
      <c r="D3" s="37">
        <f>'ts2 frazionamento'!G84</f>
        <v>0</v>
      </c>
      <c r="E3" s="37">
        <f>'ts2 frazionamento'!H84</f>
        <v>0</v>
      </c>
      <c r="F3" s="37">
        <f>'ts2 frazionamento'!I84</f>
        <v>0</v>
      </c>
      <c r="G3" s="37">
        <f>'ts2 frazionamento'!J84</f>
        <v>4627349.3195074527</v>
      </c>
      <c r="H3" s="37">
        <f>'ts2 frazionamento'!K84</f>
        <v>0</v>
      </c>
      <c r="I3" s="37">
        <f>'ts2 frazionamento'!L84</f>
        <v>0</v>
      </c>
      <c r="J3" s="37">
        <f>'ts2 frazionamento'!M84</f>
        <v>0</v>
      </c>
      <c r="K3" s="37">
        <f>'ts2 frazionamento'!N84</f>
        <v>0</v>
      </c>
      <c r="L3" s="37">
        <f>'ts2 frazionamento'!O84</f>
        <v>0</v>
      </c>
      <c r="M3" s="37">
        <f>'ts2 frazionamento'!P84</f>
        <v>0</v>
      </c>
    </row>
    <row r="4" spans="2:13" x14ac:dyDescent="0.25">
      <c r="B4" s="50" t="str">
        <f>'ts2 frazionamento'!E85</f>
        <v>Immobile 2</v>
      </c>
      <c r="C4" s="37"/>
      <c r="D4" s="37">
        <f>'ts2 frazionamento'!G85</f>
        <v>0</v>
      </c>
      <c r="E4" s="37">
        <f>'ts2 frazionamento'!H85</f>
        <v>0</v>
      </c>
      <c r="F4" s="37">
        <f>'ts2 frazionamento'!I85</f>
        <v>0</v>
      </c>
      <c r="G4" s="37">
        <f>'ts2 frazionamento'!J85</f>
        <v>0</v>
      </c>
      <c r="H4" s="37">
        <f>'ts2 frazionamento'!K85</f>
        <v>0</v>
      </c>
      <c r="I4" s="37">
        <f>'ts2 frazionamento'!L85</f>
        <v>6952689.5657809461</v>
      </c>
      <c r="J4" s="37">
        <f>'ts2 frazionamento'!M85</f>
        <v>0</v>
      </c>
      <c r="K4" s="37">
        <f>'ts2 frazionamento'!N85</f>
        <v>0</v>
      </c>
      <c r="L4" s="37">
        <f>'ts2 frazionamento'!O85</f>
        <v>0</v>
      </c>
      <c r="M4" s="37">
        <f>'ts2 frazionamento'!P85</f>
        <v>0</v>
      </c>
    </row>
    <row r="5" spans="2:13" x14ac:dyDescent="0.25">
      <c r="B5" s="50" t="str">
        <f>'ts2 frazionamento'!E86</f>
        <v>Immobile 3</v>
      </c>
      <c r="C5" s="37"/>
      <c r="D5" s="37">
        <f>'ts2 frazionamento'!G86</f>
        <v>0</v>
      </c>
      <c r="E5" s="37">
        <f>'ts2 frazionamento'!H86</f>
        <v>0</v>
      </c>
      <c r="F5" s="37">
        <f>'ts2 frazionamento'!I86</f>
        <v>0</v>
      </c>
      <c r="G5" s="37">
        <f>'ts2 frazionamento'!J86</f>
        <v>0</v>
      </c>
      <c r="H5" s="37">
        <f>'ts2 frazionamento'!K86</f>
        <v>0</v>
      </c>
      <c r="I5" s="37">
        <f>'ts2 frazionamento'!L86</f>
        <v>0</v>
      </c>
      <c r="J5" s="37">
        <f>'ts2 frazionamento'!M86</f>
        <v>2877511.3415424493</v>
      </c>
      <c r="K5" s="37">
        <f>'ts2 frazionamento'!N86</f>
        <v>0</v>
      </c>
      <c r="L5" s="37">
        <f>'ts2 frazionamento'!O86</f>
        <v>0</v>
      </c>
      <c r="M5" s="37">
        <f>'ts2 frazionamento'!P86</f>
        <v>0</v>
      </c>
    </row>
    <row r="6" spans="2:13" x14ac:dyDescent="0.25">
      <c r="B6" s="50" t="str">
        <f>'ts2 frazionamento'!E87</f>
        <v>Immobile 4</v>
      </c>
      <c r="C6" s="37"/>
      <c r="D6" s="37">
        <f>'ts2 frazionamento'!G87</f>
        <v>0</v>
      </c>
      <c r="E6" s="37">
        <f>'ts2 frazionamento'!H87</f>
        <v>0</v>
      </c>
      <c r="F6" s="37">
        <f>'ts2 frazionamento'!I87</f>
        <v>0</v>
      </c>
      <c r="G6" s="37">
        <f>'ts2 frazionamento'!J87</f>
        <v>0</v>
      </c>
      <c r="H6" s="37">
        <f>'ts2 frazionamento'!K87</f>
        <v>0</v>
      </c>
      <c r="I6" s="37">
        <f>'ts2 frazionamento'!L87</f>
        <v>0</v>
      </c>
      <c r="J6" s="37">
        <f>'ts2 frazionamento'!M87</f>
        <v>0</v>
      </c>
      <c r="K6" s="37">
        <f>'ts2 frazionamento'!N87</f>
        <v>13843162.670123136</v>
      </c>
      <c r="L6" s="37">
        <f>'ts2 frazionamento'!O87</f>
        <v>0</v>
      </c>
      <c r="M6" s="37">
        <f>'ts2 frazionamento'!P87</f>
        <v>0</v>
      </c>
    </row>
    <row r="7" spans="2:13" x14ac:dyDescent="0.25">
      <c r="B7" s="51" t="str">
        <f>'ts2 frazionamento'!E88</f>
        <v>Immobile 5</v>
      </c>
      <c r="C7" s="39"/>
      <c r="D7" s="39">
        <f>'ts2 frazionamento'!G88</f>
        <v>0</v>
      </c>
      <c r="E7" s="39">
        <f>'ts2 frazionamento'!H88</f>
        <v>0</v>
      </c>
      <c r="F7" s="39">
        <f>'ts2 frazionamento'!I88</f>
        <v>0</v>
      </c>
      <c r="G7" s="39">
        <f>'ts2 frazionamento'!J88</f>
        <v>0</v>
      </c>
      <c r="H7" s="39">
        <f>'ts2 frazionamento'!K88</f>
        <v>0</v>
      </c>
      <c r="I7" s="39">
        <f>'ts2 frazionamento'!L88</f>
        <v>0</v>
      </c>
      <c r="J7" s="39">
        <f>'ts2 frazionamento'!M88</f>
        <v>0</v>
      </c>
      <c r="K7" s="39">
        <f>'ts2 frazionamento'!N88</f>
        <v>0</v>
      </c>
      <c r="L7" s="39">
        <f>'ts2 frazionamento'!O88</f>
        <v>0</v>
      </c>
      <c r="M7" s="39">
        <f>'ts2 frazionamento'!P88</f>
        <v>1699287.1030460149</v>
      </c>
    </row>
    <row r="8" spans="2:13" x14ac:dyDescent="0.25">
      <c r="B8" s="49" t="str">
        <f>'ts2 frazionamento'!E89</f>
        <v>Rimborso</v>
      </c>
      <c r="C8" s="38"/>
      <c r="D8" s="38">
        <f>'ts2 frazionamento'!G89</f>
        <v>0</v>
      </c>
      <c r="E8" s="38">
        <f>'ts2 frazionamento'!H89</f>
        <v>0</v>
      </c>
      <c r="F8" s="38">
        <f>'ts2 frazionamento'!I89</f>
        <v>0</v>
      </c>
      <c r="G8" s="38">
        <f>'ts2 frazionamento'!J89</f>
        <v>4627349.3195074527</v>
      </c>
      <c r="H8" s="38">
        <f>'ts2 frazionamento'!K89</f>
        <v>0</v>
      </c>
      <c r="I8" s="38">
        <f>'ts2 frazionamento'!L89</f>
        <v>6952689.5657809461</v>
      </c>
      <c r="J8" s="38">
        <f>'ts2 frazionamento'!M89</f>
        <v>2877511.3415424493</v>
      </c>
      <c r="K8" s="38">
        <f>'ts2 frazionamento'!N89</f>
        <v>13843162.670123136</v>
      </c>
      <c r="L8" s="38">
        <f>'ts2 frazionamento'!O89</f>
        <v>0</v>
      </c>
      <c r="M8" s="38">
        <f>'ts2 frazionamento'!P89</f>
        <v>1699287.1030460149</v>
      </c>
    </row>
    <row r="9" spans="2:13" x14ac:dyDescent="0.25">
      <c r="B9" s="5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2:13" x14ac:dyDescent="0.25">
      <c r="B10" s="52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2:13" x14ac:dyDescent="0.25">
      <c r="B11" s="5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</row>
    <row r="12" spans="2:13" x14ac:dyDescent="0.25">
      <c r="B12" s="52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2:13" x14ac:dyDescent="0.25">
      <c r="B13" s="49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</row>
  </sheetData>
  <phoneticPr fontId="19" type="noConversion"/>
  <conditionalFormatting sqref="C2:M7 C9:M13">
    <cfRule type="cellIs" dxfId="15" priority="1" operator="equal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14">
    <tabColor rgb="FFFFFF00"/>
  </sheetPr>
  <dimension ref="B2:F7"/>
  <sheetViews>
    <sheetView showGridLines="0" workbookViewId="0">
      <selection activeCell="B2" sqref="B2:F7"/>
    </sheetView>
  </sheetViews>
  <sheetFormatPr defaultColWidth="9.140625" defaultRowHeight="15" x14ac:dyDescent="0.25"/>
  <cols>
    <col min="1" max="1" width="9.140625" style="20"/>
    <col min="2" max="2" width="28.42578125" style="59" bestFit="1" customWidth="1"/>
    <col min="3" max="6" width="8" style="58" bestFit="1" customWidth="1"/>
    <col min="7" max="16384" width="9.140625" style="20"/>
  </cols>
  <sheetData>
    <row r="2" spans="2:6" ht="15.75" thickBot="1" x14ac:dyDescent="0.3">
      <c r="B2" s="48" t="str">
        <f>'ts2 frazionamento'!E24</f>
        <v>Oneri finanziari</v>
      </c>
      <c r="C2" s="36" t="str">
        <f>'ts2 frazionamento'!F24</f>
        <v>A1</v>
      </c>
      <c r="D2" s="36" t="str">
        <f>'ts2 frazionamento'!G24</f>
        <v>A2</v>
      </c>
      <c r="E2" s="36" t="str">
        <f>'ts2 frazionamento'!H24</f>
        <v>A3</v>
      </c>
      <c r="F2" s="36" t="str">
        <f>'ts2 frazionamento'!I24</f>
        <v>B (IVA)</v>
      </c>
    </row>
    <row r="3" spans="2:6" ht="15.75" thickTop="1" x14ac:dyDescent="0.25">
      <c r="B3" s="50" t="str">
        <f>'ts2 frazionamento'!E25</f>
        <v>Euribor 3 M (ipotesi massimo)</v>
      </c>
      <c r="C3" s="57">
        <f>'ts2 frazionamento'!F25</f>
        <v>2.5000000000000001E-2</v>
      </c>
      <c r="D3" s="57">
        <f>'ts2 frazionamento'!G25</f>
        <v>2.5000000000000001E-2</v>
      </c>
      <c r="E3" s="57">
        <f>'ts2 frazionamento'!H25</f>
        <v>2.5000000000000001E-2</v>
      </c>
      <c r="F3" s="57">
        <f>'ts2 frazionamento'!I25</f>
        <v>2.5000000000000001E-2</v>
      </c>
    </row>
    <row r="4" spans="2:6" x14ac:dyDescent="0.25">
      <c r="B4" s="50" t="str">
        <f>'ts2 frazionamento'!E26</f>
        <v xml:space="preserve">Margine </v>
      </c>
      <c r="C4" s="57">
        <f>'ts2 frazionamento'!F26</f>
        <v>0.02</v>
      </c>
      <c r="D4" s="57">
        <f>'ts2 frazionamento'!G26</f>
        <v>2.5000000000000001E-2</v>
      </c>
      <c r="E4" s="57">
        <f>'ts2 frazionamento'!H26</f>
        <v>0.03</v>
      </c>
      <c r="F4" s="57">
        <f>'ts2 frazionamento'!I26</f>
        <v>0.02</v>
      </c>
    </row>
    <row r="5" spans="2:6" x14ac:dyDescent="0.25">
      <c r="B5" s="50" t="str">
        <f>'ts2 frazionamento'!E27</f>
        <v>Tasso annuale</v>
      </c>
      <c r="C5" s="57">
        <f>'ts2 frazionamento'!F27</f>
        <v>4.4999999999999998E-2</v>
      </c>
      <c r="D5" s="57">
        <f>'ts2 frazionamento'!G27</f>
        <v>0.05</v>
      </c>
      <c r="E5" s="57">
        <f>'ts2 frazionamento'!H27</f>
        <v>5.5E-2</v>
      </c>
      <c r="F5" s="57">
        <f>'ts2 frazionamento'!I27</f>
        <v>4.4999999999999998E-2</v>
      </c>
    </row>
    <row r="6" spans="2:6" x14ac:dyDescent="0.25">
      <c r="B6" s="50" t="str">
        <f>'ts2 frazionamento'!E28</f>
        <v>Tasso trimestrale</v>
      </c>
      <c r="C6" s="57">
        <f>'ts2 frazionamento'!F28</f>
        <v>1.125E-2</v>
      </c>
      <c r="D6" s="57">
        <f>'ts2 frazionamento'!G28</f>
        <v>1.2500000000000001E-2</v>
      </c>
      <c r="E6" s="57">
        <f>'ts2 frazionamento'!H28</f>
        <v>1.375E-2</v>
      </c>
      <c r="F6" s="57">
        <f>'ts2 frazionamento'!I28</f>
        <v>1.125E-2</v>
      </c>
    </row>
    <row r="7" spans="2:6" x14ac:dyDescent="0.25">
      <c r="B7" s="50" t="str">
        <f>'ts2 frazionamento'!E29</f>
        <v>Interessi annuali (importo iniziale)</v>
      </c>
      <c r="C7" s="37">
        <f>'ts2 frazionamento'!F29</f>
        <v>450000</v>
      </c>
      <c r="D7" s="37">
        <f>'ts2 frazionamento'!G29</f>
        <v>500000</v>
      </c>
      <c r="E7" s="37">
        <f>'ts2 frazionamento'!H29</f>
        <v>550000</v>
      </c>
      <c r="F7" s="37">
        <f>'ts2 frazionamento'!I29</f>
        <v>360000</v>
      </c>
    </row>
  </sheetData>
  <phoneticPr fontId="1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17">
    <tabColor rgb="FFFFFF00"/>
  </sheetPr>
  <dimension ref="B2:N31"/>
  <sheetViews>
    <sheetView showGridLines="0" workbookViewId="0">
      <selection activeCell="M2" sqref="B2:M30"/>
    </sheetView>
  </sheetViews>
  <sheetFormatPr defaultColWidth="9.140625" defaultRowHeight="15" x14ac:dyDescent="0.25"/>
  <cols>
    <col min="1" max="1" width="9.140625" style="20"/>
    <col min="2" max="2" width="22.28515625" style="59" bestFit="1" customWidth="1"/>
    <col min="3" max="10" width="12.42578125" style="58" bestFit="1" customWidth="1"/>
    <col min="11" max="11" width="11.28515625" style="58" bestFit="1" customWidth="1"/>
    <col min="12" max="12" width="11.42578125" style="58" bestFit="1" customWidth="1"/>
    <col min="13" max="13" width="13.140625" style="58" bestFit="1" customWidth="1"/>
    <col min="14" max="16384" width="9.140625" style="20"/>
  </cols>
  <sheetData>
    <row r="2" spans="2:14" ht="15.75" thickBot="1" x14ac:dyDescent="0.3">
      <c r="B2" s="48" t="str">
        <f>'ts2 frazionamento'!E91</f>
        <v>Linea A1</v>
      </c>
      <c r="C2" s="36">
        <f>'ts2 frazionamento'!G91</f>
        <v>1</v>
      </c>
      <c r="D2" s="36">
        <f>'ts2 frazionamento'!H91</f>
        <v>2</v>
      </c>
      <c r="E2" s="36">
        <f>'ts2 frazionamento'!I91</f>
        <v>3</v>
      </c>
      <c r="F2" s="36">
        <f>'ts2 frazionamento'!J91</f>
        <v>4</v>
      </c>
      <c r="G2" s="36">
        <f>'ts2 frazionamento'!K91</f>
        <v>5</v>
      </c>
      <c r="H2" s="36">
        <f>'ts2 frazionamento'!L91</f>
        <v>6</v>
      </c>
      <c r="I2" s="36">
        <f>'ts2 frazionamento'!M91</f>
        <v>7</v>
      </c>
      <c r="J2" s="36">
        <f>'ts2 frazionamento'!N91</f>
        <v>8</v>
      </c>
      <c r="K2" s="36">
        <f>'ts2 frazionamento'!O91</f>
        <v>9</v>
      </c>
      <c r="L2" s="36">
        <f>'ts2 frazionamento'!P91</f>
        <v>10</v>
      </c>
      <c r="M2" s="36" t="str">
        <f>'ts2 frazionamento'!S91</f>
        <v>Tot</v>
      </c>
    </row>
    <row r="3" spans="2:14" ht="15.75" thickTop="1" x14ac:dyDescent="0.25">
      <c r="B3" s="52" t="str">
        <f>'ts2 frazionamento'!E92</f>
        <v>Finanziamento Iniziale</v>
      </c>
      <c r="C3" s="40">
        <f>'ts2 frazionamento'!G92</f>
        <v>0</v>
      </c>
      <c r="D3" s="40">
        <f>'ts2 frazionamento'!H92</f>
        <v>10000000</v>
      </c>
      <c r="E3" s="40">
        <f>'ts2 frazionamento'!I92</f>
        <v>10000000</v>
      </c>
      <c r="F3" s="40">
        <f>'ts2 frazionamento'!J92</f>
        <v>10000000</v>
      </c>
      <c r="G3" s="40">
        <f>'ts2 frazionamento'!K92</f>
        <v>10000000</v>
      </c>
      <c r="H3" s="40">
        <f>'ts2 frazionamento'!L92</f>
        <v>10000000</v>
      </c>
      <c r="I3" s="40">
        <f>'ts2 frazionamento'!M92</f>
        <v>10000000</v>
      </c>
      <c r="J3" s="40">
        <f>'ts2 frazionamento'!N92</f>
        <v>10000000</v>
      </c>
      <c r="K3" s="40">
        <f>'ts2 frazionamento'!O92</f>
        <v>1699287.1030460168</v>
      </c>
      <c r="L3" s="40">
        <f>'ts2 frazionamento'!P92</f>
        <v>1699287.1030460168</v>
      </c>
      <c r="M3" s="40"/>
    </row>
    <row r="4" spans="2:14" x14ac:dyDescent="0.25">
      <c r="B4" s="50" t="str">
        <f>'ts2 frazionamento'!E93</f>
        <v>Erogazione</v>
      </c>
      <c r="C4" s="37">
        <f>'ts2 frazionamento'!G93</f>
        <v>10000000</v>
      </c>
      <c r="D4" s="77">
        <f>'ts2 frazionamento'!H93</f>
        <v>0</v>
      </c>
      <c r="E4" s="77">
        <f>'ts2 frazionamento'!I93</f>
        <v>0</v>
      </c>
      <c r="F4" s="77">
        <f>'ts2 frazionamento'!J93</f>
        <v>0</v>
      </c>
      <c r="G4" s="77">
        <f>'ts2 frazionamento'!K93</f>
        <v>0</v>
      </c>
      <c r="H4" s="77">
        <f>'ts2 frazionamento'!L93</f>
        <v>0</v>
      </c>
      <c r="I4" s="77">
        <f>'ts2 frazionamento'!M93</f>
        <v>0</v>
      </c>
      <c r="J4" s="77">
        <f>'ts2 frazionamento'!N93</f>
        <v>0</v>
      </c>
      <c r="K4" s="77">
        <f>'ts2 frazionamento'!O93</f>
        <v>0</v>
      </c>
      <c r="L4" s="77">
        <f>'ts2 frazionamento'!P93</f>
        <v>0</v>
      </c>
      <c r="M4" s="40">
        <f>'ts2 frazionamento'!S93</f>
        <v>10000000</v>
      </c>
    </row>
    <row r="5" spans="2:14" x14ac:dyDescent="0.25">
      <c r="B5" s="52" t="str">
        <f>'ts2 frazionamento'!E94</f>
        <v>Arrangement fee</v>
      </c>
      <c r="C5" s="37">
        <f>'ts2 frazionamento'!G94</f>
        <v>-120000</v>
      </c>
      <c r="D5" s="37">
        <f>'ts2 frazionamento'!H94</f>
        <v>0</v>
      </c>
      <c r="E5" s="37">
        <f>'ts2 frazionamento'!I94</f>
        <v>0</v>
      </c>
      <c r="F5" s="37">
        <f>'ts2 frazionamento'!J94</f>
        <v>0</v>
      </c>
      <c r="G5" s="37">
        <f>'ts2 frazionamento'!K94</f>
        <v>0</v>
      </c>
      <c r="H5" s="37">
        <f>'ts2 frazionamento'!L94</f>
        <v>0</v>
      </c>
      <c r="I5" s="37">
        <f>'ts2 frazionamento'!M94</f>
        <v>0</v>
      </c>
      <c r="J5" s="37">
        <f>'ts2 frazionamento'!N94</f>
        <v>0</v>
      </c>
      <c r="K5" s="37">
        <f>'ts2 frazionamento'!O94</f>
        <v>0</v>
      </c>
      <c r="L5" s="37">
        <f>'ts2 frazionamento'!P94</f>
        <v>0</v>
      </c>
      <c r="M5" s="40">
        <f>'ts2 frazionamento'!S94</f>
        <v>-120000</v>
      </c>
    </row>
    <row r="6" spans="2:14" x14ac:dyDescent="0.25">
      <c r="B6" s="50" t="str">
        <f>'ts2 frazionamento'!E95</f>
        <v>Imposta sostitutiva</v>
      </c>
      <c r="C6" s="37">
        <f>'ts2 frazionamento'!G95</f>
        <v>-25000</v>
      </c>
      <c r="D6" s="37">
        <f>'ts2 frazionamento'!H95</f>
        <v>0</v>
      </c>
      <c r="E6" s="37">
        <f>'ts2 frazionamento'!I95</f>
        <v>0</v>
      </c>
      <c r="F6" s="37">
        <f>'ts2 frazionamento'!J95</f>
        <v>0</v>
      </c>
      <c r="G6" s="37">
        <f>'ts2 frazionamento'!K95</f>
        <v>0</v>
      </c>
      <c r="H6" s="37">
        <f>'ts2 frazionamento'!L95</f>
        <v>0</v>
      </c>
      <c r="I6" s="37">
        <f>'ts2 frazionamento'!M95</f>
        <v>0</v>
      </c>
      <c r="J6" s="37">
        <f>'ts2 frazionamento'!N95</f>
        <v>0</v>
      </c>
      <c r="K6" s="37">
        <f>'ts2 frazionamento'!O95</f>
        <v>0</v>
      </c>
      <c r="L6" s="37">
        <f>'ts2 frazionamento'!P95</f>
        <v>0</v>
      </c>
      <c r="M6" s="40">
        <f>'ts2 frazionamento'!S95</f>
        <v>-25000</v>
      </c>
    </row>
    <row r="7" spans="2:14" x14ac:dyDescent="0.25">
      <c r="B7" s="50" t="str">
        <f>'ts2 frazionamento'!E96</f>
        <v>Rimborso</v>
      </c>
      <c r="C7" s="78">
        <f>'ts2 frazionamento'!G96</f>
        <v>0</v>
      </c>
      <c r="D7" s="37">
        <f>'ts2 frazionamento'!H96</f>
        <v>0</v>
      </c>
      <c r="E7" s="37">
        <f>'ts2 frazionamento'!I96</f>
        <v>0</v>
      </c>
      <c r="F7" s="37">
        <f>'ts2 frazionamento'!J96</f>
        <v>0</v>
      </c>
      <c r="G7" s="37">
        <f>'ts2 frazionamento'!K96</f>
        <v>0</v>
      </c>
      <c r="H7" s="37">
        <f>'ts2 frazionamento'!L96</f>
        <v>0</v>
      </c>
      <c r="I7" s="37">
        <f>'ts2 frazionamento'!M96</f>
        <v>0</v>
      </c>
      <c r="J7" s="37">
        <f>'ts2 frazionamento'!N96</f>
        <v>-8300712.8969539832</v>
      </c>
      <c r="K7" s="37">
        <f>'ts2 frazionamento'!O96</f>
        <v>0</v>
      </c>
      <c r="L7" s="37">
        <f>'ts2 frazionamento'!P96</f>
        <v>-1699287.1030460149</v>
      </c>
      <c r="M7" s="40">
        <f>'ts2 frazionamento'!S96</f>
        <v>-9999999.9999999981</v>
      </c>
    </row>
    <row r="8" spans="2:14" x14ac:dyDescent="0.25">
      <c r="B8" s="52" t="str">
        <f>'ts2 frazionamento'!E97</f>
        <v>Finanziamento Finale</v>
      </c>
      <c r="C8" s="40">
        <f>'ts2 frazionamento'!G97</f>
        <v>10000000</v>
      </c>
      <c r="D8" s="40">
        <f>'ts2 frazionamento'!H97</f>
        <v>10000000</v>
      </c>
      <c r="E8" s="40">
        <f>'ts2 frazionamento'!I97</f>
        <v>10000000</v>
      </c>
      <c r="F8" s="40">
        <f>'ts2 frazionamento'!J97</f>
        <v>10000000</v>
      </c>
      <c r="G8" s="40">
        <f>'ts2 frazionamento'!K97</f>
        <v>10000000</v>
      </c>
      <c r="H8" s="40">
        <f>'ts2 frazionamento'!L97</f>
        <v>10000000</v>
      </c>
      <c r="I8" s="40">
        <f>'ts2 frazionamento'!M97</f>
        <v>10000000</v>
      </c>
      <c r="J8" s="40">
        <f>'ts2 frazionamento'!N97</f>
        <v>1699287.1030460168</v>
      </c>
      <c r="K8" s="40">
        <f>'ts2 frazionamento'!O97</f>
        <v>1699287.1030460168</v>
      </c>
      <c r="L8" s="40">
        <f>'ts2 frazionamento'!P97</f>
        <v>1.862645149230957E-9</v>
      </c>
      <c r="M8" s="40"/>
    </row>
    <row r="9" spans="2:14" x14ac:dyDescent="0.25">
      <c r="B9" s="51" t="str">
        <f>'ts2 frazionamento'!E98</f>
        <v>Interessi</v>
      </c>
      <c r="C9" s="39">
        <f>'ts2 frazionamento'!G98</f>
        <v>-112500</v>
      </c>
      <c r="D9" s="39">
        <f>'ts2 frazionamento'!H98</f>
        <v>-112500</v>
      </c>
      <c r="E9" s="39">
        <f>'ts2 frazionamento'!I98</f>
        <v>-112500</v>
      </c>
      <c r="F9" s="39">
        <f>'ts2 frazionamento'!J98</f>
        <v>-112500</v>
      </c>
      <c r="G9" s="39">
        <f>'ts2 frazionamento'!K98</f>
        <v>-112500</v>
      </c>
      <c r="H9" s="39">
        <f>'ts2 frazionamento'!L98</f>
        <v>-112500</v>
      </c>
      <c r="I9" s="39">
        <f>'ts2 frazionamento'!M98</f>
        <v>-112500</v>
      </c>
      <c r="J9" s="39">
        <f>'ts2 frazionamento'!N98</f>
        <v>-19116.979909267688</v>
      </c>
      <c r="K9" s="39">
        <f>'ts2 frazionamento'!O98</f>
        <v>-19116.979909267688</v>
      </c>
      <c r="L9" s="39">
        <f>'ts2 frazionamento'!P98</f>
        <v>-2.0954757928848266E-11</v>
      </c>
      <c r="M9" s="43">
        <f>'ts2 frazionamento'!S98</f>
        <v>-825733.95981853548</v>
      </c>
    </row>
    <row r="10" spans="2:14" x14ac:dyDescent="0.25">
      <c r="B10" s="49" t="str">
        <f>'ts2 frazionamento'!E99</f>
        <v>Flusso Linea A1</v>
      </c>
      <c r="C10" s="38">
        <f>'ts2 frazionamento'!G99</f>
        <v>9742500</v>
      </c>
      <c r="D10" s="38">
        <f>'ts2 frazionamento'!H99</f>
        <v>-112500</v>
      </c>
      <c r="E10" s="38">
        <f>'ts2 frazionamento'!I99</f>
        <v>-112500</v>
      </c>
      <c r="F10" s="38">
        <f>'ts2 frazionamento'!J99</f>
        <v>-112500</v>
      </c>
      <c r="G10" s="38">
        <f>'ts2 frazionamento'!K99</f>
        <v>-112500</v>
      </c>
      <c r="H10" s="38">
        <f>'ts2 frazionamento'!L99</f>
        <v>-112500</v>
      </c>
      <c r="I10" s="38">
        <f>'ts2 frazionamento'!M99</f>
        <v>-112500</v>
      </c>
      <c r="J10" s="38">
        <f>'ts2 frazionamento'!N99</f>
        <v>-8319829.8768632505</v>
      </c>
      <c r="K10" s="38">
        <f>'ts2 frazionamento'!O99</f>
        <v>-19116.979909267688</v>
      </c>
      <c r="L10" s="38">
        <f>'ts2 frazionamento'!P99</f>
        <v>-1699287.1030460149</v>
      </c>
      <c r="M10" s="40">
        <f>'ts2 frazionamento'!S99</f>
        <v>-970733.95981853316</v>
      </c>
      <c r="N10" s="21"/>
    </row>
    <row r="11" spans="2:14" ht="6" customHeight="1" x14ac:dyDescent="0.25">
      <c r="B11" s="50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</row>
    <row r="12" spans="2:14" ht="15.75" thickBot="1" x14ac:dyDescent="0.3">
      <c r="B12" s="48" t="str">
        <f>'ts2 frazionamento'!E101</f>
        <v>Linea A2</v>
      </c>
      <c r="C12" s="36">
        <f>'ts2 frazionamento'!G101</f>
        <v>1</v>
      </c>
      <c r="D12" s="36">
        <f>'ts2 frazionamento'!H101</f>
        <v>2</v>
      </c>
      <c r="E12" s="36">
        <f>'ts2 frazionamento'!I101</f>
        <v>3</v>
      </c>
      <c r="F12" s="36">
        <f>'ts2 frazionamento'!J101</f>
        <v>4</v>
      </c>
      <c r="G12" s="36">
        <f>'ts2 frazionamento'!K101</f>
        <v>5</v>
      </c>
      <c r="H12" s="36">
        <f>'ts2 frazionamento'!L101</f>
        <v>6</v>
      </c>
      <c r="I12" s="36">
        <f>'ts2 frazionamento'!M101</f>
        <v>7</v>
      </c>
      <c r="J12" s="36">
        <f>'ts2 frazionamento'!N101</f>
        <v>8</v>
      </c>
      <c r="K12" s="36">
        <f>'ts2 frazionamento'!O101</f>
        <v>9</v>
      </c>
      <c r="L12" s="36">
        <f>'ts2 frazionamento'!P101</f>
        <v>10</v>
      </c>
      <c r="M12" s="36" t="str">
        <f>'ts2 frazionamento'!S101</f>
        <v>Tot</v>
      </c>
    </row>
    <row r="13" spans="2:14" ht="15.75" thickTop="1" x14ac:dyDescent="0.25">
      <c r="B13" s="52" t="str">
        <f>'ts2 frazionamento'!E102</f>
        <v>Finanziamento Iniziale</v>
      </c>
      <c r="C13" s="40">
        <f>'ts2 frazionamento'!G102</f>
        <v>0</v>
      </c>
      <c r="D13" s="40">
        <f>'ts2 frazionamento'!H102</f>
        <v>10000000</v>
      </c>
      <c r="E13" s="40">
        <f>'ts2 frazionamento'!I102</f>
        <v>10000000</v>
      </c>
      <c r="F13" s="40">
        <f>'ts2 frazionamento'!J102</f>
        <v>10000000</v>
      </c>
      <c r="G13" s="40">
        <f>'ts2 frazionamento'!K102</f>
        <v>10000000</v>
      </c>
      <c r="H13" s="40">
        <f>'ts2 frazionamento'!L102</f>
        <v>10000000</v>
      </c>
      <c r="I13" s="40">
        <f>'ts2 frazionamento'!M102</f>
        <v>8419961.1147116013</v>
      </c>
      <c r="J13" s="40">
        <f>'ts2 frazionamento'!N102</f>
        <v>5542449.7731691524</v>
      </c>
      <c r="K13" s="40">
        <f>'ts2 frazionamento'!O102</f>
        <v>0</v>
      </c>
      <c r="L13" s="40">
        <f>'ts2 frazionamento'!P102</f>
        <v>0</v>
      </c>
      <c r="M13" s="40"/>
    </row>
    <row r="14" spans="2:14" x14ac:dyDescent="0.25">
      <c r="B14" s="50" t="str">
        <f>'ts2 frazionamento'!E103</f>
        <v>Erogazione</v>
      </c>
      <c r="C14" s="37">
        <f>'ts2 frazionamento'!G103</f>
        <v>10000000</v>
      </c>
      <c r="D14" s="77">
        <f>'ts2 frazionamento'!H103</f>
        <v>0</v>
      </c>
      <c r="E14" s="77">
        <f>'ts2 frazionamento'!I103</f>
        <v>0</v>
      </c>
      <c r="F14" s="77">
        <f>'ts2 frazionamento'!J103</f>
        <v>0</v>
      </c>
      <c r="G14" s="77">
        <f>'ts2 frazionamento'!K103</f>
        <v>0</v>
      </c>
      <c r="H14" s="77">
        <f>'ts2 frazionamento'!L103</f>
        <v>0</v>
      </c>
      <c r="I14" s="77">
        <f>'ts2 frazionamento'!M103</f>
        <v>0</v>
      </c>
      <c r="J14" s="77">
        <f>'ts2 frazionamento'!N103</f>
        <v>0</v>
      </c>
      <c r="K14" s="77">
        <f>'ts2 frazionamento'!O103</f>
        <v>0</v>
      </c>
      <c r="L14" s="77">
        <f>'ts2 frazionamento'!P103</f>
        <v>0</v>
      </c>
      <c r="M14" s="40">
        <f>'ts2 frazionamento'!S103</f>
        <v>10000000</v>
      </c>
    </row>
    <row r="15" spans="2:14" x14ac:dyDescent="0.25">
      <c r="B15" s="52" t="str">
        <f>'ts2 frazionamento'!E104</f>
        <v>Arrangement fee</v>
      </c>
      <c r="C15" s="37">
        <f>'ts2 frazionamento'!G104</f>
        <v>-120000</v>
      </c>
      <c r="D15" s="37">
        <f>'ts2 frazionamento'!H104</f>
        <v>0</v>
      </c>
      <c r="E15" s="37">
        <f>'ts2 frazionamento'!I104</f>
        <v>0</v>
      </c>
      <c r="F15" s="37">
        <f>'ts2 frazionamento'!J104</f>
        <v>0</v>
      </c>
      <c r="G15" s="37">
        <f>'ts2 frazionamento'!K104</f>
        <v>0</v>
      </c>
      <c r="H15" s="37">
        <f>'ts2 frazionamento'!L104</f>
        <v>0</v>
      </c>
      <c r="I15" s="37">
        <f>'ts2 frazionamento'!M104</f>
        <v>0</v>
      </c>
      <c r="J15" s="37">
        <f>'ts2 frazionamento'!N104</f>
        <v>0</v>
      </c>
      <c r="K15" s="37">
        <f>'ts2 frazionamento'!O104</f>
        <v>0</v>
      </c>
      <c r="L15" s="37">
        <f>'ts2 frazionamento'!P104</f>
        <v>0</v>
      </c>
      <c r="M15" s="40">
        <f>'ts2 frazionamento'!S104</f>
        <v>-120000</v>
      </c>
    </row>
    <row r="16" spans="2:14" x14ac:dyDescent="0.25">
      <c r="B16" s="50" t="str">
        <f>'ts2 frazionamento'!E105</f>
        <v>Imposta sostitutiva</v>
      </c>
      <c r="C16" s="37">
        <f>'ts2 frazionamento'!G105</f>
        <v>-25000</v>
      </c>
      <c r="D16" s="37">
        <f>'ts2 frazionamento'!H105</f>
        <v>0</v>
      </c>
      <c r="E16" s="37">
        <f>'ts2 frazionamento'!I105</f>
        <v>0</v>
      </c>
      <c r="F16" s="37">
        <f>'ts2 frazionamento'!J105</f>
        <v>0</v>
      </c>
      <c r="G16" s="37">
        <f>'ts2 frazionamento'!K105</f>
        <v>0</v>
      </c>
      <c r="H16" s="37">
        <f>'ts2 frazionamento'!L105</f>
        <v>0</v>
      </c>
      <c r="I16" s="37">
        <f>'ts2 frazionamento'!M105</f>
        <v>0</v>
      </c>
      <c r="J16" s="37">
        <f>'ts2 frazionamento'!N105</f>
        <v>0</v>
      </c>
      <c r="K16" s="37">
        <f>'ts2 frazionamento'!O105</f>
        <v>0</v>
      </c>
      <c r="L16" s="37">
        <f>'ts2 frazionamento'!P105</f>
        <v>0</v>
      </c>
      <c r="M16" s="40">
        <f>'ts2 frazionamento'!S105</f>
        <v>-25000</v>
      </c>
    </row>
    <row r="17" spans="2:13" x14ac:dyDescent="0.25">
      <c r="B17" s="50" t="str">
        <f>'ts2 frazionamento'!E106</f>
        <v>Rimborso</v>
      </c>
      <c r="C17" s="78">
        <f>'ts2 frazionamento'!G106</f>
        <v>0</v>
      </c>
      <c r="D17" s="37">
        <f>'ts2 frazionamento'!H106</f>
        <v>0</v>
      </c>
      <c r="E17" s="37">
        <f>'ts2 frazionamento'!I106</f>
        <v>0</v>
      </c>
      <c r="F17" s="37">
        <f>'ts2 frazionamento'!J106</f>
        <v>0</v>
      </c>
      <c r="G17" s="37">
        <f>'ts2 frazionamento'!K106</f>
        <v>0</v>
      </c>
      <c r="H17" s="37">
        <f>'ts2 frazionamento'!L106</f>
        <v>-1580038.8852883987</v>
      </c>
      <c r="I17" s="37">
        <f>'ts2 frazionamento'!M106</f>
        <v>-2877511.3415424493</v>
      </c>
      <c r="J17" s="37">
        <f>'ts2 frazionamento'!N106</f>
        <v>-5542449.7731691524</v>
      </c>
      <c r="K17" s="37">
        <f>'ts2 frazionamento'!O106</f>
        <v>0</v>
      </c>
      <c r="L17" s="37">
        <f>'ts2 frazionamento'!P106</f>
        <v>0</v>
      </c>
      <c r="M17" s="40">
        <f>'ts2 frazionamento'!S106</f>
        <v>-10000000</v>
      </c>
    </row>
    <row r="18" spans="2:13" x14ac:dyDescent="0.25">
      <c r="B18" s="52" t="str">
        <f>'ts2 frazionamento'!E107</f>
        <v>Finanziamento Finale</v>
      </c>
      <c r="C18" s="40">
        <f>'ts2 frazionamento'!G107</f>
        <v>10000000</v>
      </c>
      <c r="D18" s="40">
        <f>'ts2 frazionamento'!H107</f>
        <v>10000000</v>
      </c>
      <c r="E18" s="40">
        <f>'ts2 frazionamento'!I107</f>
        <v>10000000</v>
      </c>
      <c r="F18" s="40">
        <f>'ts2 frazionamento'!J107</f>
        <v>10000000</v>
      </c>
      <c r="G18" s="40">
        <f>'ts2 frazionamento'!K107</f>
        <v>10000000</v>
      </c>
      <c r="H18" s="40">
        <f>'ts2 frazionamento'!L107</f>
        <v>8419961.1147116013</v>
      </c>
      <c r="I18" s="40">
        <f>'ts2 frazionamento'!M107</f>
        <v>5542449.7731691524</v>
      </c>
      <c r="J18" s="40">
        <f>'ts2 frazionamento'!N107</f>
        <v>0</v>
      </c>
      <c r="K18" s="40">
        <f>'ts2 frazionamento'!O107</f>
        <v>0</v>
      </c>
      <c r="L18" s="40">
        <f>'ts2 frazionamento'!P107</f>
        <v>0</v>
      </c>
      <c r="M18" s="40"/>
    </row>
    <row r="19" spans="2:13" x14ac:dyDescent="0.25">
      <c r="B19" s="51" t="str">
        <f>'ts2 frazionamento'!E108</f>
        <v>Interessi</v>
      </c>
      <c r="C19" s="39">
        <f>'ts2 frazionamento'!G108</f>
        <v>-125000</v>
      </c>
      <c r="D19" s="39">
        <f>'ts2 frazionamento'!H108</f>
        <v>-125000</v>
      </c>
      <c r="E19" s="39">
        <f>'ts2 frazionamento'!I108</f>
        <v>-125000</v>
      </c>
      <c r="F19" s="39">
        <f>'ts2 frazionamento'!J108</f>
        <v>-125000</v>
      </c>
      <c r="G19" s="39">
        <f>'ts2 frazionamento'!K108</f>
        <v>-125000</v>
      </c>
      <c r="H19" s="39">
        <f>'ts2 frazionamento'!L108</f>
        <v>-105249.51393389502</v>
      </c>
      <c r="I19" s="39">
        <f>'ts2 frazionamento'!M108</f>
        <v>-69280.622164614411</v>
      </c>
      <c r="J19" s="39">
        <f>'ts2 frazionamento'!N108</f>
        <v>0</v>
      </c>
      <c r="K19" s="39">
        <f>'ts2 frazionamento'!O108</f>
        <v>0</v>
      </c>
      <c r="L19" s="39">
        <f>'ts2 frazionamento'!P108</f>
        <v>0</v>
      </c>
      <c r="M19" s="43">
        <f>'ts2 frazionamento'!S108</f>
        <v>-799530.13609850942</v>
      </c>
    </row>
    <row r="20" spans="2:13" x14ac:dyDescent="0.25">
      <c r="B20" s="49" t="str">
        <f>'ts2 frazionamento'!E109</f>
        <v>Flusso Linea A2</v>
      </c>
      <c r="C20" s="38">
        <f>'ts2 frazionamento'!G109</f>
        <v>9730000</v>
      </c>
      <c r="D20" s="38">
        <f>'ts2 frazionamento'!H109</f>
        <v>-125000</v>
      </c>
      <c r="E20" s="38">
        <f>'ts2 frazionamento'!I109</f>
        <v>-125000</v>
      </c>
      <c r="F20" s="38">
        <f>'ts2 frazionamento'!J109</f>
        <v>-125000</v>
      </c>
      <c r="G20" s="38">
        <f>'ts2 frazionamento'!K109</f>
        <v>-125000</v>
      </c>
      <c r="H20" s="38">
        <f>'ts2 frazionamento'!L109</f>
        <v>-1685288.3992222936</v>
      </c>
      <c r="I20" s="38">
        <f>'ts2 frazionamento'!M109</f>
        <v>-2946791.9637070638</v>
      </c>
      <c r="J20" s="38">
        <f>'ts2 frazionamento'!N109</f>
        <v>-5542449.7731691524</v>
      </c>
      <c r="K20" s="38">
        <f>'ts2 frazionamento'!O109</f>
        <v>0</v>
      </c>
      <c r="L20" s="38">
        <f>'ts2 frazionamento'!P109</f>
        <v>0</v>
      </c>
      <c r="M20" s="40">
        <f>'ts2 frazionamento'!S109</f>
        <v>-944530.13609850965</v>
      </c>
    </row>
    <row r="21" spans="2:13" ht="6" customHeight="1" x14ac:dyDescent="0.25">
      <c r="B21" s="50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2:13" ht="15.75" thickBot="1" x14ac:dyDescent="0.3">
      <c r="B22" s="48" t="str">
        <f>'ts2 frazionamento'!E111</f>
        <v>Linea A3</v>
      </c>
      <c r="C22" s="36">
        <f>'ts2 frazionamento'!G111</f>
        <v>1</v>
      </c>
      <c r="D22" s="36">
        <f>'ts2 frazionamento'!H111</f>
        <v>2</v>
      </c>
      <c r="E22" s="36">
        <f>'ts2 frazionamento'!I111</f>
        <v>3</v>
      </c>
      <c r="F22" s="36">
        <f>'ts2 frazionamento'!J111</f>
        <v>4</v>
      </c>
      <c r="G22" s="36">
        <f>'ts2 frazionamento'!K111</f>
        <v>5</v>
      </c>
      <c r="H22" s="36">
        <f>'ts2 frazionamento'!L111</f>
        <v>6</v>
      </c>
      <c r="I22" s="36">
        <f>'ts2 frazionamento'!M111</f>
        <v>7</v>
      </c>
      <c r="J22" s="36">
        <f>'ts2 frazionamento'!N111</f>
        <v>8</v>
      </c>
      <c r="K22" s="36">
        <f>'ts2 frazionamento'!O111</f>
        <v>9</v>
      </c>
      <c r="L22" s="36">
        <f>'ts2 frazionamento'!P111</f>
        <v>10</v>
      </c>
      <c r="M22" s="36" t="str">
        <f>'ts2 frazionamento'!S111</f>
        <v>Tot</v>
      </c>
    </row>
    <row r="23" spans="2:13" ht="15.75" thickTop="1" x14ac:dyDescent="0.25">
      <c r="B23" s="52" t="str">
        <f>'ts2 frazionamento'!E112</f>
        <v>Finanziamento Iniziale</v>
      </c>
      <c r="C23" s="40">
        <f>'ts2 frazionamento'!G112</f>
        <v>0</v>
      </c>
      <c r="D23" s="40">
        <f>'ts2 frazionamento'!H112</f>
        <v>10000000</v>
      </c>
      <c r="E23" s="40">
        <f>'ts2 frazionamento'!I112</f>
        <v>10000000</v>
      </c>
      <c r="F23" s="40">
        <f>'ts2 frazionamento'!J112</f>
        <v>10000000</v>
      </c>
      <c r="G23" s="40">
        <f>'ts2 frazionamento'!K112</f>
        <v>5372650.6804925473</v>
      </c>
      <c r="H23" s="40">
        <f>'ts2 frazionamento'!L112</f>
        <v>5372650.6804925473</v>
      </c>
      <c r="I23" s="40">
        <f>'ts2 frazionamento'!M112</f>
        <v>0</v>
      </c>
      <c r="J23" s="40">
        <f>'ts2 frazionamento'!N112</f>
        <v>0</v>
      </c>
      <c r="K23" s="40">
        <f>'ts2 frazionamento'!O112</f>
        <v>0</v>
      </c>
      <c r="L23" s="40">
        <f>'ts2 frazionamento'!P112</f>
        <v>0</v>
      </c>
      <c r="M23" s="40"/>
    </row>
    <row r="24" spans="2:13" x14ac:dyDescent="0.25">
      <c r="B24" s="50" t="str">
        <f>'ts2 frazionamento'!E113</f>
        <v>Erogazione</v>
      </c>
      <c r="C24" s="37">
        <f>'ts2 frazionamento'!G113</f>
        <v>10000000</v>
      </c>
      <c r="D24" s="77">
        <f>'ts2 frazionamento'!H113</f>
        <v>0</v>
      </c>
      <c r="E24" s="77">
        <f>'ts2 frazionamento'!I113</f>
        <v>0</v>
      </c>
      <c r="F24" s="77">
        <f>'ts2 frazionamento'!J113</f>
        <v>0</v>
      </c>
      <c r="G24" s="77">
        <f>'ts2 frazionamento'!K113</f>
        <v>0</v>
      </c>
      <c r="H24" s="77">
        <f>'ts2 frazionamento'!L113</f>
        <v>0</v>
      </c>
      <c r="I24" s="77">
        <f>'ts2 frazionamento'!M113</f>
        <v>0</v>
      </c>
      <c r="J24" s="77">
        <f>'ts2 frazionamento'!N113</f>
        <v>0</v>
      </c>
      <c r="K24" s="77">
        <f>'ts2 frazionamento'!O113</f>
        <v>0</v>
      </c>
      <c r="L24" s="77">
        <f>'ts2 frazionamento'!P113</f>
        <v>0</v>
      </c>
      <c r="M24" s="40">
        <f>'ts2 frazionamento'!S113</f>
        <v>10000000</v>
      </c>
    </row>
    <row r="25" spans="2:13" x14ac:dyDescent="0.25">
      <c r="B25" s="52" t="str">
        <f>'ts2 frazionamento'!E114</f>
        <v>Arrangement fee</v>
      </c>
      <c r="C25" s="37">
        <f>'ts2 frazionamento'!G114</f>
        <v>-120000</v>
      </c>
      <c r="D25" s="37">
        <f>'ts2 frazionamento'!H114</f>
        <v>0</v>
      </c>
      <c r="E25" s="37">
        <f>'ts2 frazionamento'!I114</f>
        <v>0</v>
      </c>
      <c r="F25" s="37">
        <f>'ts2 frazionamento'!J114</f>
        <v>0</v>
      </c>
      <c r="G25" s="37">
        <f>'ts2 frazionamento'!K114</f>
        <v>0</v>
      </c>
      <c r="H25" s="37">
        <f>'ts2 frazionamento'!L114</f>
        <v>0</v>
      </c>
      <c r="I25" s="37">
        <f>'ts2 frazionamento'!M114</f>
        <v>0</v>
      </c>
      <c r="J25" s="37">
        <f>'ts2 frazionamento'!N114</f>
        <v>0</v>
      </c>
      <c r="K25" s="37">
        <f>'ts2 frazionamento'!O114</f>
        <v>0</v>
      </c>
      <c r="L25" s="37">
        <f>'ts2 frazionamento'!P114</f>
        <v>0</v>
      </c>
      <c r="M25" s="40">
        <f>'ts2 frazionamento'!S114</f>
        <v>-120000</v>
      </c>
    </row>
    <row r="26" spans="2:13" x14ac:dyDescent="0.25">
      <c r="B26" s="50" t="str">
        <f>'ts2 frazionamento'!E115</f>
        <v>Imposta sostitutiva</v>
      </c>
      <c r="C26" s="37">
        <f>'ts2 frazionamento'!G115</f>
        <v>-25000</v>
      </c>
      <c r="D26" s="37">
        <f>'ts2 frazionamento'!H115</f>
        <v>0</v>
      </c>
      <c r="E26" s="37">
        <f>'ts2 frazionamento'!I115</f>
        <v>0</v>
      </c>
      <c r="F26" s="37">
        <f>'ts2 frazionamento'!J115</f>
        <v>0</v>
      </c>
      <c r="G26" s="37">
        <f>'ts2 frazionamento'!K115</f>
        <v>0</v>
      </c>
      <c r="H26" s="37">
        <f>'ts2 frazionamento'!L115</f>
        <v>0</v>
      </c>
      <c r="I26" s="37">
        <f>'ts2 frazionamento'!M115</f>
        <v>0</v>
      </c>
      <c r="J26" s="37">
        <f>'ts2 frazionamento'!N115</f>
        <v>0</v>
      </c>
      <c r="K26" s="37">
        <f>'ts2 frazionamento'!O115</f>
        <v>0</v>
      </c>
      <c r="L26" s="37">
        <f>'ts2 frazionamento'!P115</f>
        <v>0</v>
      </c>
      <c r="M26" s="40">
        <f>'ts2 frazionamento'!S115</f>
        <v>-25000</v>
      </c>
    </row>
    <row r="27" spans="2:13" x14ac:dyDescent="0.25">
      <c r="B27" s="50" t="str">
        <f>'ts2 frazionamento'!E116</f>
        <v>Rimborso</v>
      </c>
      <c r="C27" s="78">
        <f>'ts2 frazionamento'!G116</f>
        <v>0</v>
      </c>
      <c r="D27" s="37">
        <f>'ts2 frazionamento'!H116</f>
        <v>0</v>
      </c>
      <c r="E27" s="37">
        <f>'ts2 frazionamento'!I116</f>
        <v>0</v>
      </c>
      <c r="F27" s="37">
        <f>'ts2 frazionamento'!J116</f>
        <v>-4627349.3195074527</v>
      </c>
      <c r="G27" s="37">
        <f>'ts2 frazionamento'!K116</f>
        <v>0</v>
      </c>
      <c r="H27" s="37">
        <f>'ts2 frazionamento'!L116</f>
        <v>-5372650.6804925473</v>
      </c>
      <c r="I27" s="37">
        <f>'ts2 frazionamento'!M116</f>
        <v>0</v>
      </c>
      <c r="J27" s="37">
        <f>'ts2 frazionamento'!N116</f>
        <v>0</v>
      </c>
      <c r="K27" s="37">
        <f>'ts2 frazionamento'!O116</f>
        <v>0</v>
      </c>
      <c r="L27" s="37">
        <f>'ts2 frazionamento'!P116</f>
        <v>0</v>
      </c>
      <c r="M27" s="40">
        <f>'ts2 frazionamento'!S116</f>
        <v>-10000000</v>
      </c>
    </row>
    <row r="28" spans="2:13" x14ac:dyDescent="0.25">
      <c r="B28" s="52" t="str">
        <f>'ts2 frazionamento'!E117</f>
        <v>Finanziamento Finale</v>
      </c>
      <c r="C28" s="40">
        <f>'ts2 frazionamento'!G117</f>
        <v>10000000</v>
      </c>
      <c r="D28" s="40">
        <f>'ts2 frazionamento'!H117</f>
        <v>10000000</v>
      </c>
      <c r="E28" s="40">
        <f>'ts2 frazionamento'!I117</f>
        <v>10000000</v>
      </c>
      <c r="F28" s="40">
        <f>'ts2 frazionamento'!J117</f>
        <v>5372650.6804925473</v>
      </c>
      <c r="G28" s="40">
        <f>'ts2 frazionamento'!K117</f>
        <v>5372650.6804925473</v>
      </c>
      <c r="H28" s="37">
        <f>'ts2 frazionamento'!L117</f>
        <v>0</v>
      </c>
      <c r="I28" s="37">
        <f>'ts2 frazionamento'!M117</f>
        <v>0</v>
      </c>
      <c r="J28" s="37">
        <f>'ts2 frazionamento'!N117</f>
        <v>0</v>
      </c>
      <c r="K28" s="37">
        <f>'ts2 frazionamento'!O117</f>
        <v>0</v>
      </c>
      <c r="L28" s="37">
        <f>'ts2 frazionamento'!P117</f>
        <v>0</v>
      </c>
      <c r="M28" s="40"/>
    </row>
    <row r="29" spans="2:13" x14ac:dyDescent="0.25">
      <c r="B29" s="51" t="str">
        <f>'ts2 frazionamento'!E118</f>
        <v>Interessi</v>
      </c>
      <c r="C29" s="39">
        <f>'ts2 frazionamento'!G118</f>
        <v>-137500</v>
      </c>
      <c r="D29" s="39">
        <f>'ts2 frazionamento'!H118</f>
        <v>-137500</v>
      </c>
      <c r="E29" s="39">
        <f>'ts2 frazionamento'!I118</f>
        <v>-137500</v>
      </c>
      <c r="F29" s="39">
        <f>'ts2 frazionamento'!J118</f>
        <v>-73873.946856772527</v>
      </c>
      <c r="G29" s="39">
        <f>'ts2 frazionamento'!K118</f>
        <v>-73873.946856772527</v>
      </c>
      <c r="H29" s="39">
        <f>'ts2 frazionamento'!L118</f>
        <v>0</v>
      </c>
      <c r="I29" s="39">
        <f>'ts2 frazionamento'!M118</f>
        <v>0</v>
      </c>
      <c r="J29" s="39">
        <f>'ts2 frazionamento'!N118</f>
        <v>0</v>
      </c>
      <c r="K29" s="39">
        <f>'ts2 frazionamento'!O118</f>
        <v>0</v>
      </c>
      <c r="L29" s="39">
        <f>'ts2 frazionamento'!P118</f>
        <v>0</v>
      </c>
      <c r="M29" s="43">
        <f>'ts2 frazionamento'!S118</f>
        <v>-560247.89371354505</v>
      </c>
    </row>
    <row r="30" spans="2:13" x14ac:dyDescent="0.25">
      <c r="B30" s="49" t="str">
        <f>'ts2 frazionamento'!E119</f>
        <v>Flusso Linea A3</v>
      </c>
      <c r="C30" s="38">
        <f>'ts2 frazionamento'!G119</f>
        <v>9717500</v>
      </c>
      <c r="D30" s="38">
        <f>'ts2 frazionamento'!H119</f>
        <v>-137500</v>
      </c>
      <c r="E30" s="38">
        <f>'ts2 frazionamento'!I119</f>
        <v>-137500</v>
      </c>
      <c r="F30" s="38">
        <f>'ts2 frazionamento'!J119</f>
        <v>-4701223.2663642252</v>
      </c>
      <c r="G30" s="38">
        <f>'ts2 frazionamento'!K119</f>
        <v>-73873.946856772527</v>
      </c>
      <c r="H30" s="38">
        <f>'ts2 frazionamento'!L119</f>
        <v>-5372650.6804925473</v>
      </c>
      <c r="I30" s="38">
        <f>'ts2 frazionamento'!M119</f>
        <v>0</v>
      </c>
      <c r="J30" s="38">
        <f>'ts2 frazionamento'!N119</f>
        <v>0</v>
      </c>
      <c r="K30" s="38">
        <f>'ts2 frazionamento'!O119</f>
        <v>0</v>
      </c>
      <c r="L30" s="38">
        <f>'ts2 frazionamento'!P119</f>
        <v>0</v>
      </c>
      <c r="M30" s="40">
        <f>'ts2 frazionamento'!S119</f>
        <v>-705247.89371354505</v>
      </c>
    </row>
    <row r="31" spans="2:13" ht="6" customHeight="1" x14ac:dyDescent="0.25">
      <c r="B31" s="50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</row>
  </sheetData>
  <phoneticPr fontId="19" type="noConversion"/>
  <conditionalFormatting sqref="C2:L31">
    <cfRule type="cellIs" dxfId="14" priority="5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18">
    <tabColor rgb="FFFFFF00"/>
  </sheetPr>
  <dimension ref="A1:M26"/>
  <sheetViews>
    <sheetView showGridLines="0" workbookViewId="0">
      <selection activeCell="B2" sqref="B2:M26"/>
    </sheetView>
  </sheetViews>
  <sheetFormatPr defaultColWidth="9.140625" defaultRowHeight="15" x14ac:dyDescent="0.25"/>
  <cols>
    <col min="1" max="1" width="9.140625" style="20"/>
    <col min="2" max="2" width="28.28515625" style="59" bestFit="1" customWidth="1"/>
    <col min="3" max="3" width="11.85546875" style="58" bestFit="1" customWidth="1"/>
    <col min="4" max="5" width="11.28515625" style="58" bestFit="1" customWidth="1"/>
    <col min="6" max="6" width="11.42578125" style="58" bestFit="1" customWidth="1"/>
    <col min="7" max="7" width="11.28515625" style="58" bestFit="1" customWidth="1"/>
    <col min="8" max="9" width="11.42578125" style="58" bestFit="1" customWidth="1"/>
    <col min="10" max="10" width="12.5703125" style="58" bestFit="1" customWidth="1"/>
    <col min="11" max="11" width="9.42578125" style="58" bestFit="1" customWidth="1"/>
    <col min="12" max="12" width="11.42578125" style="58" bestFit="1" customWidth="1"/>
    <col min="13" max="13" width="13.140625" style="58" bestFit="1" customWidth="1"/>
    <col min="14" max="16384" width="9.140625" style="20"/>
  </cols>
  <sheetData>
    <row r="1" spans="1:13" x14ac:dyDescent="0.25">
      <c r="A1" s="20">
        <v>1</v>
      </c>
    </row>
    <row r="2" spans="1:13" ht="15.75" thickBot="1" x14ac:dyDescent="0.3">
      <c r="B2" s="48" t="str">
        <f>'ts2 frazionamento'!E121</f>
        <v>Sintesi Linea A Acquisizione</v>
      </c>
      <c r="C2" s="36">
        <f>'ts2 frazionamento'!G121</f>
        <v>1</v>
      </c>
      <c r="D2" s="36">
        <f>'ts2 frazionamento'!H121</f>
        <v>2</v>
      </c>
      <c r="E2" s="36">
        <f>'ts2 frazionamento'!I121</f>
        <v>3</v>
      </c>
      <c r="F2" s="36">
        <f>'ts2 frazionamento'!J121</f>
        <v>4</v>
      </c>
      <c r="G2" s="36">
        <f>'ts2 frazionamento'!K121</f>
        <v>5</v>
      </c>
      <c r="H2" s="36">
        <f>'ts2 frazionamento'!L121</f>
        <v>6</v>
      </c>
      <c r="I2" s="36">
        <f>'ts2 frazionamento'!M121</f>
        <v>7</v>
      </c>
      <c r="J2" s="36">
        <f>'ts2 frazionamento'!N121</f>
        <v>8</v>
      </c>
      <c r="K2" s="36">
        <f>'ts2 frazionamento'!O121</f>
        <v>9</v>
      </c>
      <c r="L2" s="36">
        <f>'ts2 frazionamento'!P121</f>
        <v>10</v>
      </c>
      <c r="M2" s="36" t="str">
        <f>'ts2 frazionamento'!S121</f>
        <v>Tot</v>
      </c>
    </row>
    <row r="3" spans="1:13" ht="15.75" thickTop="1" x14ac:dyDescent="0.25">
      <c r="B3" s="50" t="str">
        <f>'ts2 frazionamento'!E122</f>
        <v>Erogazione</v>
      </c>
      <c r="C3" s="37">
        <f>'ts2 frazionamento'!G122</f>
        <v>30000000</v>
      </c>
      <c r="D3" s="37">
        <f>'ts2 frazionamento'!H122</f>
        <v>0</v>
      </c>
      <c r="E3" s="37">
        <f>'ts2 frazionamento'!I122</f>
        <v>0</v>
      </c>
      <c r="F3" s="37">
        <f>'ts2 frazionamento'!J122</f>
        <v>0</v>
      </c>
      <c r="G3" s="37">
        <f>'ts2 frazionamento'!K122</f>
        <v>0</v>
      </c>
      <c r="H3" s="37">
        <f>'ts2 frazionamento'!L122</f>
        <v>0</v>
      </c>
      <c r="I3" s="37">
        <f>'ts2 frazionamento'!M122</f>
        <v>0</v>
      </c>
      <c r="J3" s="37">
        <f>'ts2 frazionamento'!N122</f>
        <v>0</v>
      </c>
      <c r="K3" s="37">
        <f>'ts2 frazionamento'!O122</f>
        <v>0</v>
      </c>
      <c r="L3" s="37">
        <f>'ts2 frazionamento'!P122</f>
        <v>0</v>
      </c>
      <c r="M3" s="40">
        <f>'ts2 frazionamento'!S122</f>
        <v>30000000</v>
      </c>
    </row>
    <row r="4" spans="1:13" x14ac:dyDescent="0.25">
      <c r="B4" s="50" t="str">
        <f>'ts2 frazionamento'!E123</f>
        <v>Rimborso</v>
      </c>
      <c r="C4" s="37">
        <f>'ts2 frazionamento'!G123</f>
        <v>0</v>
      </c>
      <c r="D4" s="37">
        <f>'ts2 frazionamento'!H123</f>
        <v>0</v>
      </c>
      <c r="E4" s="37">
        <f>'ts2 frazionamento'!I123</f>
        <v>0</v>
      </c>
      <c r="F4" s="37">
        <f>'ts2 frazionamento'!J123</f>
        <v>-4627349.3195074527</v>
      </c>
      <c r="G4" s="37">
        <f>'ts2 frazionamento'!K123</f>
        <v>0</v>
      </c>
      <c r="H4" s="37">
        <f>'ts2 frazionamento'!L123</f>
        <v>-6952689.5657809461</v>
      </c>
      <c r="I4" s="37">
        <f>'ts2 frazionamento'!M123</f>
        <v>-2877511.3415424493</v>
      </c>
      <c r="J4" s="37">
        <f>'ts2 frazionamento'!N123</f>
        <v>-13843162.670123136</v>
      </c>
      <c r="K4" s="37">
        <f>'ts2 frazionamento'!O123</f>
        <v>0</v>
      </c>
      <c r="L4" s="37">
        <f>'ts2 frazionamento'!P123</f>
        <v>-1699287.1030460149</v>
      </c>
      <c r="M4" s="40">
        <f>'ts2 frazionamento'!S123</f>
        <v>-30000000</v>
      </c>
    </row>
    <row r="5" spans="1:13" x14ac:dyDescent="0.25">
      <c r="B5" s="50" t="str">
        <f>'ts2 frazionamento'!E124</f>
        <v>Finanziamento Finale</v>
      </c>
      <c r="C5" s="37">
        <f>'ts2 frazionamento'!G124</f>
        <v>30000000</v>
      </c>
      <c r="D5" s="37">
        <f>'ts2 frazionamento'!H124</f>
        <v>30000000</v>
      </c>
      <c r="E5" s="37">
        <f>'ts2 frazionamento'!I124</f>
        <v>30000000</v>
      </c>
      <c r="F5" s="37">
        <f>'ts2 frazionamento'!J124</f>
        <v>25372650.680492546</v>
      </c>
      <c r="G5" s="37">
        <f>'ts2 frazionamento'!K124</f>
        <v>25372650.680492546</v>
      </c>
      <c r="H5" s="37">
        <f>'ts2 frazionamento'!L124</f>
        <v>18419961.114711601</v>
      </c>
      <c r="I5" s="37">
        <f>'ts2 frazionamento'!M124</f>
        <v>15542449.773169152</v>
      </c>
      <c r="J5" s="37">
        <f>'ts2 frazionamento'!N124</f>
        <v>1699287.1030460168</v>
      </c>
      <c r="K5" s="37">
        <f>'ts2 frazionamento'!O124</f>
        <v>1699287.1030460168</v>
      </c>
      <c r="L5" s="37">
        <f>'ts2 frazionamento'!P124</f>
        <v>1.862645149230957E-9</v>
      </c>
      <c r="M5" s="40"/>
    </row>
    <row r="6" spans="1:13" x14ac:dyDescent="0.25">
      <c r="B6" s="50" t="str">
        <f>'ts2 frazionamento'!E125</f>
        <v>Valore Portafoglio</v>
      </c>
      <c r="C6" s="37">
        <f>'ts2 frazionamento'!G125</f>
        <v>46290000</v>
      </c>
      <c r="D6" s="37">
        <f>'ts2 frazionamento'!H125</f>
        <v>46290000</v>
      </c>
      <c r="E6" s="37">
        <f>'ts2 frazionamento'!I125</f>
        <v>46290000</v>
      </c>
      <c r="F6" s="37">
        <f>'ts2 frazionamento'!J125</f>
        <v>40340000</v>
      </c>
      <c r="G6" s="37">
        <f>'ts2 frazionamento'!K125</f>
        <v>40340000</v>
      </c>
      <c r="H6" s="37">
        <f>'ts2 frazionamento'!L125</f>
        <v>31400000</v>
      </c>
      <c r="I6" s="37">
        <f>'ts2 frazionamento'!M125</f>
        <v>27700000</v>
      </c>
      <c r="J6" s="37">
        <f>'ts2 frazionamento'!N125</f>
        <v>9900000</v>
      </c>
      <c r="K6" s="37">
        <f>'ts2 frazionamento'!O125</f>
        <v>9900000</v>
      </c>
      <c r="L6" s="37">
        <f>'ts2 frazionamento'!P125</f>
        <v>0</v>
      </c>
      <c r="M6" s="40"/>
    </row>
    <row r="7" spans="1:13" x14ac:dyDescent="0.25">
      <c r="B7" s="79" t="str">
        <f>'ts2 frazionamento'!E126</f>
        <v>LTV</v>
      </c>
      <c r="C7" s="80">
        <f>'ts2 frazionamento'!G126</f>
        <v>0.64808813998703829</v>
      </c>
      <c r="D7" s="80">
        <f>'ts2 frazionamento'!H126</f>
        <v>0.64808813998703829</v>
      </c>
      <c r="E7" s="80">
        <f>'ts2 frazionamento'!I126</f>
        <v>0.64808813998703829</v>
      </c>
      <c r="F7" s="80">
        <f>'ts2 frazionamento'!J126</f>
        <v>0.62897002182678596</v>
      </c>
      <c r="G7" s="80">
        <f>'ts2 frazionamento'!K126</f>
        <v>0.62897002182678596</v>
      </c>
      <c r="H7" s="80">
        <f>'ts2 frazionamento'!L126</f>
        <v>0.58662296543667525</v>
      </c>
      <c r="I7" s="80">
        <f>'ts2 frazionamento'!M126</f>
        <v>0.56109926978950009</v>
      </c>
      <c r="J7" s="80">
        <f>'ts2 frazionamento'!N126</f>
        <v>0.17164516192384008</v>
      </c>
      <c r="K7" s="80">
        <f>'ts2 frazionamento'!O126</f>
        <v>0.17164516192384008</v>
      </c>
      <c r="L7" s="80" t="str">
        <f>'ts2 frazionamento'!P126</f>
        <v/>
      </c>
      <c r="M7" s="81">
        <f>'ts2 frazionamento'!S126</f>
        <v>0.64808813998703829</v>
      </c>
    </row>
    <row r="8" spans="1:13" x14ac:dyDescent="0.25">
      <c r="B8" s="82" t="str">
        <f>'ts2 frazionamento'!E127</f>
        <v>Covenant Test</v>
      </c>
      <c r="C8" s="83" t="str">
        <f>'ts2 frazionamento'!G127</f>
        <v>OK</v>
      </c>
      <c r="D8" s="83" t="str">
        <f>'ts2 frazionamento'!H127</f>
        <v>OK</v>
      </c>
      <c r="E8" s="83" t="str">
        <f>'ts2 frazionamento'!I127</f>
        <v>OK</v>
      </c>
      <c r="F8" s="83" t="str">
        <f>'ts2 frazionamento'!J127</f>
        <v>OK</v>
      </c>
      <c r="G8" s="83" t="str">
        <f>'ts2 frazionamento'!K127</f>
        <v>OK</v>
      </c>
      <c r="H8" s="83" t="str">
        <f>'ts2 frazionamento'!L127</f>
        <v>OK</v>
      </c>
      <c r="I8" s="83" t="str">
        <f>'ts2 frazionamento'!M127</f>
        <v>OK</v>
      </c>
      <c r="J8" s="83" t="str">
        <f>'ts2 frazionamento'!N127</f>
        <v>OK</v>
      </c>
      <c r="K8" s="83" t="str">
        <f>'ts2 frazionamento'!O127</f>
        <v>OK</v>
      </c>
      <c r="L8" s="83" t="str">
        <f>'ts2 frazionamento'!P127</f>
        <v/>
      </c>
      <c r="M8" s="84"/>
    </row>
    <row r="9" spans="1:13" x14ac:dyDescent="0.25">
      <c r="B9" s="50" t="str">
        <f>'ts2 frazionamento'!E128</f>
        <v>Oneri Finanziari</v>
      </c>
      <c r="C9" s="37">
        <f>'ts2 frazionamento'!G128</f>
        <v>-375000</v>
      </c>
      <c r="D9" s="37">
        <f>'ts2 frazionamento'!H128</f>
        <v>-375000</v>
      </c>
      <c r="E9" s="37">
        <f>'ts2 frazionamento'!I128</f>
        <v>-375000</v>
      </c>
      <c r="F9" s="37">
        <f>'ts2 frazionamento'!J128</f>
        <v>-311373.94685677253</v>
      </c>
      <c r="G9" s="37">
        <f>'ts2 frazionamento'!K128</f>
        <v>-311373.94685677253</v>
      </c>
      <c r="H9" s="37">
        <f>'ts2 frazionamento'!L128</f>
        <v>-217749.51393389504</v>
      </c>
      <c r="I9" s="37">
        <f>'ts2 frazionamento'!M128</f>
        <v>-181780.62216461441</v>
      </c>
      <c r="J9" s="37">
        <f>'ts2 frazionamento'!N128</f>
        <v>-19116.979909267688</v>
      </c>
      <c r="K9" s="37">
        <f>'ts2 frazionamento'!O128</f>
        <v>-19116.979909267688</v>
      </c>
      <c r="L9" s="37">
        <f>-'ts2 frazionamento'!P128</f>
        <v>2.0954757928848266E-11</v>
      </c>
      <c r="M9" s="40">
        <f>'ts2 frazionamento'!S128</f>
        <v>-2185511.9896305902</v>
      </c>
    </row>
    <row r="10" spans="1:13" x14ac:dyDescent="0.25">
      <c r="B10" s="50" t="str">
        <f>'ts2 frazionamento'!E129</f>
        <v>Canone</v>
      </c>
      <c r="C10" s="37">
        <f>'ts2 frazionamento'!G129</f>
        <v>694350</v>
      </c>
      <c r="D10" s="37">
        <f>'ts2 frazionamento'!H129</f>
        <v>697821.75</v>
      </c>
      <c r="E10" s="37">
        <f>'ts2 frazionamento'!I129</f>
        <v>701310.8587499999</v>
      </c>
      <c r="F10" s="37">
        <f>'ts2 frazionamento'!J129</f>
        <v>614221.95813749987</v>
      </c>
      <c r="G10" s="37">
        <f>'ts2 frazionamento'!K129</f>
        <v>617293.06792818732</v>
      </c>
      <c r="H10" s="37">
        <f>'ts2 frazionamento'!L129</f>
        <v>482893.34022334672</v>
      </c>
      <c r="I10" s="37">
        <f>'ts2 frazionamento'!M129</f>
        <v>428121.85515310941</v>
      </c>
      <c r="J10" s="37">
        <f>'ts2 frazionamento'!N129</f>
        <v>153776.11544569896</v>
      </c>
      <c r="K10" s="37">
        <f>'ts2 frazionamento'!O129</f>
        <v>154544.99602292743</v>
      </c>
      <c r="L10" s="37">
        <f>'ts2 frazionamento'!P129</f>
        <v>0</v>
      </c>
      <c r="M10" s="40">
        <f>'ts2 frazionamento'!S129</f>
        <v>4544333.9416607693</v>
      </c>
    </row>
    <row r="11" spans="1:13" x14ac:dyDescent="0.25">
      <c r="B11" s="79" t="str">
        <f>'ts2 frazionamento'!E130</f>
        <v>ICR</v>
      </c>
      <c r="C11" s="80">
        <f>'ts2 frazionamento'!G130</f>
        <v>1.8515999999999999</v>
      </c>
      <c r="D11" s="80">
        <f>'ts2 frazionamento'!H130</f>
        <v>1.8608579999999999</v>
      </c>
      <c r="E11" s="80">
        <f>'ts2 frazionamento'!I130</f>
        <v>1.8701622899999997</v>
      </c>
      <c r="F11" s="80">
        <f>'ts2 frazionamento'!J130</f>
        <v>1.9726183399025128</v>
      </c>
      <c r="G11" s="80">
        <f>'ts2 frazionamento'!K130</f>
        <v>1.9824814316020252</v>
      </c>
      <c r="H11" s="80">
        <f>'ts2 frazionamento'!L130</f>
        <v>2.2176551924241941</v>
      </c>
      <c r="I11" s="80">
        <f>'ts2 frazionamento'!M130</f>
        <v>2.3551567271313258</v>
      </c>
      <c r="J11" s="80">
        <f>'ts2 frazionamento'!N130</f>
        <v>8.0439544413158117</v>
      </c>
      <c r="K11" s="80">
        <f>'ts2 frazionamento'!O130</f>
        <v>8.08417421352239</v>
      </c>
      <c r="L11" s="80" t="str">
        <f>'ts2 frazionamento'!P130</f>
        <v/>
      </c>
      <c r="M11" s="81">
        <f>'ts2 frazionamento'!S130</f>
        <v>1.8515999999999999</v>
      </c>
    </row>
    <row r="12" spans="1:13" x14ac:dyDescent="0.25">
      <c r="B12" s="82" t="str">
        <f>'ts2 frazionamento'!E131</f>
        <v>Covenant Test</v>
      </c>
      <c r="C12" s="83" t="str">
        <f>'ts2 frazionamento'!G131</f>
        <v>OK</v>
      </c>
      <c r="D12" s="83" t="str">
        <f>'ts2 frazionamento'!H131</f>
        <v>OK</v>
      </c>
      <c r="E12" s="83" t="str">
        <f>'ts2 frazionamento'!I131</f>
        <v>OK</v>
      </c>
      <c r="F12" s="83" t="str">
        <f>'ts2 frazionamento'!J131</f>
        <v>OK</v>
      </c>
      <c r="G12" s="83" t="str">
        <f>'ts2 frazionamento'!K131</f>
        <v>OK</v>
      </c>
      <c r="H12" s="83" t="str">
        <f>'ts2 frazionamento'!L131</f>
        <v>OK</v>
      </c>
      <c r="I12" s="83" t="str">
        <f>'ts2 frazionamento'!M131</f>
        <v>OK</v>
      </c>
      <c r="J12" s="83" t="str">
        <f>'ts2 frazionamento'!N131</f>
        <v>OK</v>
      </c>
      <c r="K12" s="83" t="str">
        <f>'ts2 frazionamento'!O131</f>
        <v>OK</v>
      </c>
      <c r="L12" s="83" t="str">
        <f>'ts2 frazionamento'!P131</f>
        <v/>
      </c>
      <c r="M12" s="84"/>
    </row>
    <row r="13" spans="1:13" x14ac:dyDescent="0.25">
      <c r="B13" s="52" t="str">
        <f>'ts2 frazionamento'!E132</f>
        <v>Arrangement fee</v>
      </c>
      <c r="C13" s="37">
        <f>'ts2 frazionamento'!G132</f>
        <v>-360000</v>
      </c>
      <c r="D13" s="37">
        <f>'ts2 frazionamento'!H132</f>
        <v>0</v>
      </c>
      <c r="E13" s="37">
        <f>'ts2 frazionamento'!I132</f>
        <v>0</v>
      </c>
      <c r="F13" s="37">
        <f>'ts2 frazionamento'!J132</f>
        <v>0</v>
      </c>
      <c r="G13" s="37">
        <f>'ts2 frazionamento'!K132</f>
        <v>0</v>
      </c>
      <c r="H13" s="37">
        <f>'ts2 frazionamento'!L132</f>
        <v>0</v>
      </c>
      <c r="I13" s="37">
        <f>'ts2 frazionamento'!M132</f>
        <v>0</v>
      </c>
      <c r="J13" s="37">
        <f>'ts2 frazionamento'!N132</f>
        <v>0</v>
      </c>
      <c r="K13" s="37">
        <f>'ts2 frazionamento'!O132</f>
        <v>0</v>
      </c>
      <c r="L13" s="37">
        <f>'ts2 frazionamento'!P132</f>
        <v>0</v>
      </c>
      <c r="M13" s="40">
        <f>'ts2 frazionamento'!S132</f>
        <v>-360000</v>
      </c>
    </row>
    <row r="14" spans="1:13" x14ac:dyDescent="0.25">
      <c r="B14" s="50" t="str">
        <f>'ts2 frazionamento'!E133</f>
        <v>Imposta sostitutiva</v>
      </c>
      <c r="C14" s="37">
        <f>'ts2 frazionamento'!G133</f>
        <v>-75000</v>
      </c>
      <c r="D14" s="37">
        <f>'ts2 frazionamento'!H133</f>
        <v>0</v>
      </c>
      <c r="E14" s="37">
        <f>'ts2 frazionamento'!I133</f>
        <v>0</v>
      </c>
      <c r="F14" s="37">
        <f>'ts2 frazionamento'!J133</f>
        <v>0</v>
      </c>
      <c r="G14" s="37">
        <f>'ts2 frazionamento'!K133</f>
        <v>0</v>
      </c>
      <c r="H14" s="37">
        <f>'ts2 frazionamento'!L133</f>
        <v>0</v>
      </c>
      <c r="I14" s="37">
        <f>'ts2 frazionamento'!M133</f>
        <v>0</v>
      </c>
      <c r="J14" s="37">
        <f>'ts2 frazionamento'!N133</f>
        <v>0</v>
      </c>
      <c r="K14" s="37">
        <f>'ts2 frazionamento'!O133</f>
        <v>0</v>
      </c>
      <c r="L14" s="37">
        <f>'ts2 frazionamento'!P133</f>
        <v>0</v>
      </c>
      <c r="M14" s="40">
        <f>'ts2 frazionamento'!S133</f>
        <v>-75000</v>
      </c>
    </row>
    <row r="15" spans="1:13" x14ac:dyDescent="0.25">
      <c r="B15" s="51" t="str">
        <f>'ts2 frazionamento'!E134</f>
        <v>Commissione Gestione</v>
      </c>
      <c r="C15" s="39">
        <f>'ts2 frazionamento'!G134</f>
        <v>-7500</v>
      </c>
      <c r="D15" s="39">
        <f>'ts2 frazionamento'!H134</f>
        <v>-7500</v>
      </c>
      <c r="E15" s="39">
        <f>'ts2 frazionamento'!I134</f>
        <v>-7500</v>
      </c>
      <c r="F15" s="39">
        <f>'ts2 frazionamento'!J134</f>
        <v>-7500</v>
      </c>
      <c r="G15" s="39">
        <f>'ts2 frazionamento'!K134</f>
        <v>-7500</v>
      </c>
      <c r="H15" s="39">
        <f>'ts2 frazionamento'!L134</f>
        <v>-7500</v>
      </c>
      <c r="I15" s="39">
        <f>'ts2 frazionamento'!M134</f>
        <v>-7500</v>
      </c>
      <c r="J15" s="39">
        <f>'ts2 frazionamento'!N134</f>
        <v>-7500</v>
      </c>
      <c r="K15" s="39">
        <f>'ts2 frazionamento'!O134</f>
        <v>-7500</v>
      </c>
      <c r="L15" s="39">
        <f>'ts2 frazionamento'!P134</f>
        <v>0</v>
      </c>
      <c r="M15" s="43">
        <f>'ts2 frazionamento'!S134</f>
        <v>-67500</v>
      </c>
    </row>
    <row r="16" spans="1:13" x14ac:dyDescent="0.25">
      <c r="B16" s="49" t="str">
        <f>'ts2 frazionamento'!E135</f>
        <v>Flusso Linea A Acquisizione</v>
      </c>
      <c r="C16" s="38">
        <f>'ts2 frazionamento'!G135</f>
        <v>29182500</v>
      </c>
      <c r="D16" s="38">
        <f>'ts2 frazionamento'!H135</f>
        <v>-382500</v>
      </c>
      <c r="E16" s="38">
        <f>'ts2 frazionamento'!I135</f>
        <v>-382500</v>
      </c>
      <c r="F16" s="38">
        <f>'ts2 frazionamento'!J135</f>
        <v>-4946223.2663642252</v>
      </c>
      <c r="G16" s="38">
        <f>'ts2 frazionamento'!K135</f>
        <v>-318873.94685677253</v>
      </c>
      <c r="H16" s="38">
        <f>'ts2 frazionamento'!L135</f>
        <v>-7177939.0797148412</v>
      </c>
      <c r="I16" s="38">
        <f>'ts2 frazionamento'!M135</f>
        <v>-3066791.9637070638</v>
      </c>
      <c r="J16" s="38">
        <f>'ts2 frazionamento'!N135</f>
        <v>-13869779.650032403</v>
      </c>
      <c r="K16" s="38">
        <f>'ts2 frazionamento'!O135</f>
        <v>-26616.979909267688</v>
      </c>
      <c r="L16" s="38">
        <f>'ts2 frazionamento'!P135</f>
        <v>-1699287.1030460149</v>
      </c>
      <c r="M16" s="40">
        <f>'ts2 frazionamento'!S135</f>
        <v>-2688011.9896305897</v>
      </c>
    </row>
    <row r="17" spans="2:13" ht="9.6" customHeight="1" x14ac:dyDescent="0.25">
      <c r="B17" s="50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8" spans="2:13" ht="15.75" thickBot="1" x14ac:dyDescent="0.3">
      <c r="B18" s="48" t="str">
        <f>'ts2 frazionamento'!E137</f>
        <v>Linea B IVA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</row>
    <row r="19" spans="2:13" ht="15.75" thickTop="1" x14ac:dyDescent="0.25">
      <c r="B19" s="52" t="str">
        <f>'ts2 frazionamento'!E138</f>
        <v>Finanziamento Iniziale</v>
      </c>
      <c r="C19" s="40">
        <f>'ts2 frazionamento'!G138</f>
        <v>0</v>
      </c>
      <c r="D19" s="40">
        <f>'ts2 frazionamento'!H138</f>
        <v>8427243</v>
      </c>
      <c r="E19" s="40">
        <f>'ts2 frazionamento'!I138</f>
        <v>8273722.2149999999</v>
      </c>
      <c r="F19" s="40">
        <f>'ts2 frazionamento'!J138</f>
        <v>8119433.8260749998</v>
      </c>
      <c r="G19" s="40">
        <f>'ts2 frazionamento'!K138</f>
        <v>6675304.9952847492</v>
      </c>
      <c r="H19" s="40">
        <f>'ts2 frazionamento'!L138</f>
        <v>6539500.5203405479</v>
      </c>
      <c r="I19" s="40">
        <f>'ts2 frazionamento'!M138</f>
        <v>4466463.9854914118</v>
      </c>
      <c r="J19" s="40">
        <f>'ts2 frazionamento'!N138</f>
        <v>3558277.1773577277</v>
      </c>
      <c r="K19" s="40">
        <f>'ts2 frazionamento'!O138</f>
        <v>0</v>
      </c>
      <c r="L19" s="40">
        <f>'ts2 frazionamento'!P138</f>
        <v>0</v>
      </c>
      <c r="M19" s="40"/>
    </row>
    <row r="20" spans="2:13" x14ac:dyDescent="0.25">
      <c r="B20" s="50" t="str">
        <f>'ts2 frazionamento'!E139</f>
        <v>Erogazione</v>
      </c>
      <c r="C20" s="37">
        <f>'ts2 frazionamento'!G139</f>
        <v>8427243</v>
      </c>
      <c r="D20" s="78">
        <f>'ts2 frazionamento'!H139</f>
        <v>0</v>
      </c>
      <c r="E20" s="78">
        <f>'ts2 frazionamento'!I139</f>
        <v>0</v>
      </c>
      <c r="F20" s="78">
        <f>'ts2 frazionamento'!J139</f>
        <v>0</v>
      </c>
      <c r="G20" s="78">
        <f>'ts2 frazionamento'!K139</f>
        <v>0</v>
      </c>
      <c r="H20" s="78">
        <f>'ts2 frazionamento'!L139</f>
        <v>0</v>
      </c>
      <c r="I20" s="78">
        <f>'ts2 frazionamento'!M139</f>
        <v>0</v>
      </c>
      <c r="J20" s="78">
        <f>'ts2 frazionamento'!N139</f>
        <v>0</v>
      </c>
      <c r="K20" s="78">
        <f>'ts2 frazionamento'!O139</f>
        <v>0</v>
      </c>
      <c r="L20" s="78">
        <f>'ts2 frazionamento'!P139</f>
        <v>0</v>
      </c>
      <c r="M20" s="40">
        <f>'ts2 frazionamento'!S139</f>
        <v>8427243</v>
      </c>
    </row>
    <row r="21" spans="2:13" x14ac:dyDescent="0.25">
      <c r="B21" s="52" t="str">
        <f>'ts2 frazionamento'!E140</f>
        <v>Arrangement fee</v>
      </c>
      <c r="C21" s="37">
        <f>'ts2 frazionamento'!G140</f>
        <v>-101126.916</v>
      </c>
      <c r="D21" s="37">
        <f>'ts2 frazionamento'!H140</f>
        <v>0</v>
      </c>
      <c r="E21" s="37">
        <f>'ts2 frazionamento'!I140</f>
        <v>0</v>
      </c>
      <c r="F21" s="37">
        <f>'ts2 frazionamento'!J140</f>
        <v>0</v>
      </c>
      <c r="G21" s="37">
        <f>'ts2 frazionamento'!K140</f>
        <v>0</v>
      </c>
      <c r="H21" s="37">
        <f>'ts2 frazionamento'!L140</f>
        <v>0</v>
      </c>
      <c r="I21" s="37">
        <f>'ts2 frazionamento'!M140</f>
        <v>0</v>
      </c>
      <c r="J21" s="37">
        <f>'ts2 frazionamento'!N140</f>
        <v>0</v>
      </c>
      <c r="K21" s="37">
        <f>'ts2 frazionamento'!O140</f>
        <v>0</v>
      </c>
      <c r="L21" s="37">
        <f>'ts2 frazionamento'!P140</f>
        <v>0</v>
      </c>
      <c r="M21" s="40">
        <f>'ts2 frazionamento'!S140</f>
        <v>-101126.916</v>
      </c>
    </row>
    <row r="22" spans="2:13" x14ac:dyDescent="0.25">
      <c r="B22" s="50" t="str">
        <f>'ts2 frazionamento'!E141</f>
        <v>Imposta sostitutiva</v>
      </c>
      <c r="C22" s="37">
        <f>'ts2 frazionamento'!G141</f>
        <v>-21068.107500000002</v>
      </c>
      <c r="D22" s="37">
        <f>'ts2 frazionamento'!H141</f>
        <v>0</v>
      </c>
      <c r="E22" s="37">
        <f>'ts2 frazionamento'!I141</f>
        <v>0</v>
      </c>
      <c r="F22" s="37">
        <f>'ts2 frazionamento'!J141</f>
        <v>0</v>
      </c>
      <c r="G22" s="37">
        <f>'ts2 frazionamento'!K141</f>
        <v>0</v>
      </c>
      <c r="H22" s="37">
        <f>'ts2 frazionamento'!L141</f>
        <v>0</v>
      </c>
      <c r="I22" s="37">
        <f>'ts2 frazionamento'!M141</f>
        <v>0</v>
      </c>
      <c r="J22" s="37">
        <f>'ts2 frazionamento'!N141</f>
        <v>0</v>
      </c>
      <c r="K22" s="37">
        <f>'ts2 frazionamento'!O141</f>
        <v>0</v>
      </c>
      <c r="L22" s="37">
        <f>'ts2 frazionamento'!P141</f>
        <v>0</v>
      </c>
      <c r="M22" s="40">
        <f>'ts2 frazionamento'!S141</f>
        <v>-21068.107500000002</v>
      </c>
    </row>
    <row r="23" spans="2:13" x14ac:dyDescent="0.25">
      <c r="B23" s="50" t="str">
        <f>'ts2 frazionamento'!E142</f>
        <v>Rimborso</v>
      </c>
      <c r="C23" s="37">
        <f>'ts2 frazionamento'!G142</f>
        <v>0</v>
      </c>
      <c r="D23" s="37">
        <f>'ts2 frazionamento'!H142</f>
        <v>-153520.785</v>
      </c>
      <c r="E23" s="37">
        <f>'ts2 frazionamento'!I142</f>
        <v>-154288.38892499998</v>
      </c>
      <c r="F23" s="37">
        <f>'ts2 frazionamento'!J142</f>
        <v>-1444128.8307902501</v>
      </c>
      <c r="G23" s="37">
        <f>'ts2 frazionamento'!K142</f>
        <v>-135804.47494420121</v>
      </c>
      <c r="H23" s="37">
        <f>'ts2 frazionamento'!L142</f>
        <v>-2073036.5348491361</v>
      </c>
      <c r="I23" s="37">
        <f>'ts2 frazionamento'!M142</f>
        <v>-908186.8081336841</v>
      </c>
      <c r="J23" s="37">
        <f>'ts2 frazionamento'!N142</f>
        <v>-3558277.1773577277</v>
      </c>
      <c r="K23" s="37">
        <f>'ts2 frazionamento'!O142</f>
        <v>0</v>
      </c>
      <c r="L23" s="37">
        <f>'ts2 frazionamento'!P142</f>
        <v>0</v>
      </c>
      <c r="M23" s="40">
        <f>'ts2 frazionamento'!S142</f>
        <v>-8427243</v>
      </c>
    </row>
    <row r="24" spans="2:13" x14ac:dyDescent="0.25">
      <c r="B24" s="52" t="str">
        <f>'ts2 frazionamento'!E143</f>
        <v>Finanziamento Finale</v>
      </c>
      <c r="C24" s="40">
        <f>'ts2 frazionamento'!G143</f>
        <v>8427243</v>
      </c>
      <c r="D24" s="40">
        <f>'ts2 frazionamento'!H143</f>
        <v>8273722.2149999999</v>
      </c>
      <c r="E24" s="40">
        <f>'ts2 frazionamento'!I143</f>
        <v>8119433.8260749998</v>
      </c>
      <c r="F24" s="40">
        <f>'ts2 frazionamento'!J143</f>
        <v>6675304.9952847492</v>
      </c>
      <c r="G24" s="40">
        <f>'ts2 frazionamento'!K143</f>
        <v>6539500.5203405479</v>
      </c>
      <c r="H24" s="40">
        <f>'ts2 frazionamento'!L143</f>
        <v>4466463.9854914118</v>
      </c>
      <c r="I24" s="40">
        <f>'ts2 frazionamento'!M143</f>
        <v>3558277.1773577277</v>
      </c>
      <c r="J24" s="40">
        <f>'ts2 frazionamento'!N143</f>
        <v>0</v>
      </c>
      <c r="K24" s="40">
        <f>'ts2 frazionamento'!O143</f>
        <v>0</v>
      </c>
      <c r="L24" s="40">
        <f>'ts2 frazionamento'!P143</f>
        <v>0</v>
      </c>
      <c r="M24" s="40"/>
    </row>
    <row r="25" spans="2:13" x14ac:dyDescent="0.25">
      <c r="B25" s="51" t="str">
        <f>'ts2 frazionamento'!E144</f>
        <v>Interessi</v>
      </c>
      <c r="C25" s="39">
        <f>'ts2 frazionamento'!G144</f>
        <v>0</v>
      </c>
      <c r="D25" s="39">
        <f>'ts2 frazionamento'!H144</f>
        <v>-94806.483749999999</v>
      </c>
      <c r="E25" s="39">
        <f>'ts2 frazionamento'!I144</f>
        <v>-93079.374918749993</v>
      </c>
      <c r="F25" s="39">
        <f>'ts2 frazionamento'!J144</f>
        <v>-91343.630543343737</v>
      </c>
      <c r="G25" s="39">
        <f>'ts2 frazionamento'!K144</f>
        <v>-75097.181196953432</v>
      </c>
      <c r="H25" s="39">
        <f>'ts2 frazionamento'!L144</f>
        <v>-73569.380853831157</v>
      </c>
      <c r="I25" s="39">
        <f>'ts2 frazionamento'!M144</f>
        <v>-50247.719836778379</v>
      </c>
      <c r="J25" s="39">
        <f>'ts2 frazionamento'!N144</f>
        <v>-40030.618245274432</v>
      </c>
      <c r="K25" s="39">
        <f>'ts2 frazionamento'!O144</f>
        <v>0</v>
      </c>
      <c r="L25" s="39">
        <f>'ts2 frazionamento'!P144</f>
        <v>0</v>
      </c>
      <c r="M25" s="43">
        <f>'ts2 frazionamento'!S144</f>
        <v>-518174.38934493111</v>
      </c>
    </row>
    <row r="26" spans="2:13" x14ac:dyDescent="0.25">
      <c r="B26" s="49" t="str">
        <f>'ts2 frazionamento'!E145</f>
        <v>Flusso Linea B IVA</v>
      </c>
      <c r="C26" s="38">
        <f>'ts2 frazionamento'!G145</f>
        <v>8305047.9764999999</v>
      </c>
      <c r="D26" s="38">
        <f>'ts2 frazionamento'!H145</f>
        <v>-248327.26874999999</v>
      </c>
      <c r="E26" s="38">
        <f>'ts2 frazionamento'!I145</f>
        <v>-247367.76384374997</v>
      </c>
      <c r="F26" s="38">
        <f>'ts2 frazionamento'!J145</f>
        <v>-1535472.4613335938</v>
      </c>
      <c r="G26" s="38">
        <f>'ts2 frazionamento'!K145</f>
        <v>-210901.65614115464</v>
      </c>
      <c r="H26" s="38">
        <f>'ts2 frazionamento'!L145</f>
        <v>-2146605.9157029674</v>
      </c>
      <c r="I26" s="38">
        <f>'ts2 frazionamento'!M145</f>
        <v>-958434.52797046246</v>
      </c>
      <c r="J26" s="38">
        <f>'ts2 frazionamento'!N145</f>
        <v>-3598307.795603002</v>
      </c>
      <c r="K26" s="38">
        <f>'ts2 frazionamento'!O145</f>
        <v>0</v>
      </c>
      <c r="L26" s="38">
        <f>'ts2 frazionamento'!P145</f>
        <v>0</v>
      </c>
      <c r="M26" s="40">
        <f>'ts2 frazionamento'!S145</f>
        <v>-640369.41284493031</v>
      </c>
    </row>
  </sheetData>
  <phoneticPr fontId="19" type="noConversion"/>
  <conditionalFormatting sqref="C2:L26">
    <cfRule type="cellIs" dxfId="13" priority="5" operator="equal">
      <formula>0</formula>
    </cfRule>
  </conditionalFormatting>
  <conditionalFormatting sqref="C8:L8 C12:L12">
    <cfRule type="cellIs" dxfId="12" priority="4" operator="equal">
      <formula>"no"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19">
    <tabColor rgb="FFFFFF00"/>
  </sheetPr>
  <dimension ref="B2:O7"/>
  <sheetViews>
    <sheetView showGridLines="0" workbookViewId="0">
      <selection activeCell="O7" sqref="B2:O7"/>
    </sheetView>
  </sheetViews>
  <sheetFormatPr defaultColWidth="9.140625" defaultRowHeight="15" x14ac:dyDescent="0.25"/>
  <cols>
    <col min="1" max="1" width="9.140625" style="20"/>
    <col min="2" max="2" width="23.5703125" style="59" bestFit="1" customWidth="1"/>
    <col min="3" max="4" width="11.42578125" style="58" bestFit="1" customWidth="1"/>
    <col min="5" max="6" width="9" style="58" bestFit="1" customWidth="1"/>
    <col min="7" max="7" width="10.7109375" style="58" bestFit="1" customWidth="1"/>
    <col min="8" max="8" width="9" style="58" bestFit="1" customWidth="1"/>
    <col min="9" max="10" width="10.7109375" style="58" bestFit="1" customWidth="1"/>
    <col min="11" max="11" width="11.140625" style="58" bestFit="1" customWidth="1"/>
    <col min="12" max="12" width="9" style="58" bestFit="1" customWidth="1"/>
    <col min="13" max="13" width="10.7109375" style="58" bestFit="1" customWidth="1"/>
    <col min="14" max="14" width="12.42578125" style="58" bestFit="1" customWidth="1"/>
    <col min="15" max="15" width="11.7109375" style="58" bestFit="1" customWidth="1"/>
    <col min="16" max="16384" width="9.140625" style="20"/>
  </cols>
  <sheetData>
    <row r="2" spans="2:15" ht="15.75" thickBot="1" x14ac:dyDescent="0.3">
      <c r="B2" s="48" t="str">
        <f>'ts2 frazionamento'!E147</f>
        <v xml:space="preserve">SINTESI FLUSSI </v>
      </c>
      <c r="C2" s="36">
        <f>'ts2 frazionamento'!F147</f>
        <v>0</v>
      </c>
      <c r="D2" s="36">
        <f>'ts2 frazionamento'!G147</f>
        <v>1</v>
      </c>
      <c r="E2" s="36">
        <f>'ts2 frazionamento'!H147</f>
        <v>2</v>
      </c>
      <c r="F2" s="36">
        <f>'ts2 frazionamento'!I147</f>
        <v>3</v>
      </c>
      <c r="G2" s="36">
        <f>'ts2 frazionamento'!J147</f>
        <v>4</v>
      </c>
      <c r="H2" s="36">
        <f>'ts2 frazionamento'!K147</f>
        <v>5</v>
      </c>
      <c r="I2" s="36">
        <f>'ts2 frazionamento'!L147</f>
        <v>6</v>
      </c>
      <c r="J2" s="36">
        <f>'ts2 frazionamento'!M147</f>
        <v>7</v>
      </c>
      <c r="K2" s="36">
        <f>'ts2 frazionamento'!N147</f>
        <v>8</v>
      </c>
      <c r="L2" s="36">
        <f>'ts2 frazionamento'!O147</f>
        <v>9</v>
      </c>
      <c r="M2" s="36">
        <f>'ts2 frazionamento'!P147</f>
        <v>10</v>
      </c>
      <c r="N2" s="36" t="str">
        <f>'ts2 frazionamento'!S147</f>
        <v>Tot.</v>
      </c>
      <c r="O2" s="36" t="str">
        <f>'ts2 frazionamento'!U147</f>
        <v>IRR Y</v>
      </c>
    </row>
    <row r="3" spans="2:15" ht="15.75" thickTop="1" x14ac:dyDescent="0.25">
      <c r="B3" s="50" t="str">
        <f>'ts2 frazionamento'!E148</f>
        <v>Flusso Immobiliare</v>
      </c>
      <c r="C3" s="37">
        <f>'ts2 frazionamento'!F148</f>
        <v>-7800000</v>
      </c>
      <c r="D3" s="37">
        <f>'ts2 frazionamento'!G148</f>
        <v>-30505650</v>
      </c>
      <c r="E3" s="37">
        <f>'ts2 frazionamento'!H148</f>
        <v>697821.75</v>
      </c>
      <c r="F3" s="37">
        <f>'ts2 frazionamento'!I148</f>
        <v>701310.8587499999</v>
      </c>
      <c r="G3" s="37">
        <f>'ts2 frazionamento'!J148</f>
        <v>6564221.9581375001</v>
      </c>
      <c r="H3" s="37">
        <f>'ts2 frazionamento'!K148</f>
        <v>617293.06792818732</v>
      </c>
      <c r="I3" s="37">
        <f>'ts2 frazionamento'!L148</f>
        <v>9422893.3402233459</v>
      </c>
      <c r="J3" s="37">
        <f>'ts2 frazionamento'!M148</f>
        <v>4128121.8551531094</v>
      </c>
      <c r="K3" s="37">
        <f>'ts2 frazionamento'!N148</f>
        <v>17953776.1154457</v>
      </c>
      <c r="L3" s="37">
        <f>'ts2 frazionamento'!O148</f>
        <v>154544.99602292743</v>
      </c>
      <c r="M3" s="37">
        <f>'ts2 frazionamento'!P148</f>
        <v>9900000</v>
      </c>
      <c r="N3" s="40">
        <f>'ts2 frazionamento'!S148</f>
        <v>11834333.941660771</v>
      </c>
      <c r="O3" s="85">
        <f>'ts2 frazionamento'!U148</f>
        <v>0.18496990505405742</v>
      </c>
    </row>
    <row r="4" spans="2:15" x14ac:dyDescent="0.25">
      <c r="B4" s="50" t="str">
        <f>'ts2 frazionamento'!E149</f>
        <v>Flusso Operativo con IVA</v>
      </c>
      <c r="C4" s="37">
        <f>'ts2 frazionamento'!F149</f>
        <v>-7800000</v>
      </c>
      <c r="D4" s="37">
        <f>'ts2 frazionamento'!G149</f>
        <v>-38932893</v>
      </c>
      <c r="E4" s="37">
        <f>'ts2 frazionamento'!H149</f>
        <v>851342.53500000003</v>
      </c>
      <c r="F4" s="37">
        <f>'ts2 frazionamento'!I149</f>
        <v>855599.24767499988</v>
      </c>
      <c r="G4" s="37">
        <f>'ts2 frazionamento'!J149</f>
        <v>8008350.7889277507</v>
      </c>
      <c r="H4" s="37">
        <f>'ts2 frazionamento'!K149</f>
        <v>753097.5428723885</v>
      </c>
      <c r="I4" s="37">
        <f>'ts2 frazionamento'!L149</f>
        <v>11495929.875072483</v>
      </c>
      <c r="J4" s="37">
        <f>'ts2 frazionamento'!M149</f>
        <v>5036308.663286794</v>
      </c>
      <c r="K4" s="37">
        <f>'ts2 frazionamento'!N149</f>
        <v>21512053.292803429</v>
      </c>
      <c r="L4" s="37">
        <f>'ts2 frazionamento'!O149</f>
        <v>154544.99602292743</v>
      </c>
      <c r="M4" s="37">
        <f>'ts2 frazionamento'!P149</f>
        <v>9900000</v>
      </c>
      <c r="N4" s="40">
        <f>'ts2 frazionamento'!S149</f>
        <v>11834333.941660771</v>
      </c>
      <c r="O4" s="85">
        <f>'ts2 frazionamento'!U149</f>
        <v>0.15641134845755689</v>
      </c>
    </row>
    <row r="5" spans="2:15" x14ac:dyDescent="0.25">
      <c r="B5" s="50" t="str">
        <f>'ts2 frazionamento'!E150</f>
        <v>Flusso Linea A - Acquisizione</v>
      </c>
      <c r="C5" s="37">
        <f>'ts2 frazionamento'!F150</f>
        <v>0</v>
      </c>
      <c r="D5" s="37">
        <f>'ts2 frazionamento'!G150</f>
        <v>29182500</v>
      </c>
      <c r="E5" s="37">
        <f>'ts2 frazionamento'!H150</f>
        <v>-382500</v>
      </c>
      <c r="F5" s="37">
        <f>'ts2 frazionamento'!I150</f>
        <v>-382500</v>
      </c>
      <c r="G5" s="37">
        <f>'ts2 frazionamento'!J150</f>
        <v>-4946223.2663642252</v>
      </c>
      <c r="H5" s="37">
        <f>'ts2 frazionamento'!K150</f>
        <v>-318873.94685677253</v>
      </c>
      <c r="I5" s="37">
        <f>'ts2 frazionamento'!L150</f>
        <v>-7177939.0797148412</v>
      </c>
      <c r="J5" s="37">
        <f>'ts2 frazionamento'!M150</f>
        <v>-3066791.9637070638</v>
      </c>
      <c r="K5" s="37">
        <f>'ts2 frazionamento'!N150</f>
        <v>-13869779.650032403</v>
      </c>
      <c r="L5" s="37">
        <f>'ts2 frazionamento'!O150</f>
        <v>-26616.979909267688</v>
      </c>
      <c r="M5" s="37">
        <f>'ts2 frazionamento'!P150</f>
        <v>-1699287.1030460149</v>
      </c>
      <c r="N5" s="40">
        <f>'ts2 frazionamento'!S150</f>
        <v>-2688011.9896305897</v>
      </c>
      <c r="O5" s="85">
        <f>'ts2 frazionamento'!U150</f>
        <v>6.3159356255824806E-2</v>
      </c>
    </row>
    <row r="6" spans="2:15" x14ac:dyDescent="0.25">
      <c r="B6" s="51" t="str">
        <f>'ts2 frazionamento'!E151</f>
        <v>Flusso Linea B - IVA</v>
      </c>
      <c r="C6" s="39">
        <f>'ts2 frazionamento'!F151</f>
        <v>0</v>
      </c>
      <c r="D6" s="39">
        <f>'ts2 frazionamento'!G151</f>
        <v>8305047.9764999999</v>
      </c>
      <c r="E6" s="39">
        <f>'ts2 frazionamento'!H151</f>
        <v>-248327.26874999999</v>
      </c>
      <c r="F6" s="39">
        <f>'ts2 frazionamento'!I151</f>
        <v>-247367.76384374997</v>
      </c>
      <c r="G6" s="39">
        <f>'ts2 frazionamento'!J151</f>
        <v>-1535472.4613335938</v>
      </c>
      <c r="H6" s="39">
        <f>'ts2 frazionamento'!K151</f>
        <v>-210901.65614115464</v>
      </c>
      <c r="I6" s="39">
        <f>'ts2 frazionamento'!L151</f>
        <v>-2146605.9157029674</v>
      </c>
      <c r="J6" s="39">
        <f>'ts2 frazionamento'!M151</f>
        <v>-958434.52797046246</v>
      </c>
      <c r="K6" s="39">
        <f>'ts2 frazionamento'!N151</f>
        <v>-3598307.795603002</v>
      </c>
      <c r="L6" s="97">
        <f>'ts2 frazionamento'!O151</f>
        <v>0</v>
      </c>
      <c r="M6" s="97">
        <f>'ts2 frazionamento'!P151</f>
        <v>0</v>
      </c>
      <c r="N6" s="43">
        <f>'ts2 frazionamento'!S151</f>
        <v>-640369.41284493031</v>
      </c>
      <c r="O6" s="86">
        <f>'ts2 frazionamento'!U151</f>
        <v>5.7328709180273218E-2</v>
      </c>
    </row>
    <row r="7" spans="2:15" x14ac:dyDescent="0.25">
      <c r="B7" s="49" t="str">
        <f>'ts2 frazionamento'!E152</f>
        <v>Flusso Levered</v>
      </c>
      <c r="C7" s="38">
        <f>'ts2 frazionamento'!F152</f>
        <v>-7800000</v>
      </c>
      <c r="D7" s="38">
        <f>'ts2 frazionamento'!G152</f>
        <v>-1445345.0235000001</v>
      </c>
      <c r="E7" s="38">
        <f>'ts2 frazionamento'!H152</f>
        <v>220515.26625000004</v>
      </c>
      <c r="F7" s="38">
        <f>'ts2 frazionamento'!I152</f>
        <v>225731.48383124991</v>
      </c>
      <c r="G7" s="38">
        <f>'ts2 frazionamento'!J152</f>
        <v>1526655.0612299317</v>
      </c>
      <c r="H7" s="38">
        <f>'ts2 frazionamento'!K152</f>
        <v>223321.93987446133</v>
      </c>
      <c r="I7" s="38">
        <f>'ts2 frazionamento'!L152</f>
        <v>2171384.8796546743</v>
      </c>
      <c r="J7" s="38">
        <f>'ts2 frazionamento'!M152</f>
        <v>1011082.1716092677</v>
      </c>
      <c r="K7" s="38">
        <f>'ts2 frazionamento'!N152</f>
        <v>4043965.8471680242</v>
      </c>
      <c r="L7" s="38">
        <f>'ts2 frazionamento'!O152</f>
        <v>127928.01611365975</v>
      </c>
      <c r="M7" s="38">
        <f>'ts2 frazionamento'!P152</f>
        <v>8200712.8969539851</v>
      </c>
      <c r="N7" s="40">
        <f>'ts2 frazionamento'!S152</f>
        <v>8505952.539185252</v>
      </c>
      <c r="O7" s="96">
        <f>'ts2 frazionamento'!U152</f>
        <v>0.40012148246365542</v>
      </c>
    </row>
  </sheetData>
  <phoneticPr fontId="19" type="noConversion"/>
  <conditionalFormatting sqref="L2:M5 C2:K7 L7:M7">
    <cfRule type="cellIs" dxfId="11" priority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oglio2">
    <tabColor rgb="FFFFC000"/>
    <pageSetUpPr fitToPage="1"/>
  </sheetPr>
  <dimension ref="A1:Y99"/>
  <sheetViews>
    <sheetView showGridLines="0" topLeftCell="A24" zoomScale="70" zoomScaleNormal="70" workbookViewId="0">
      <selection activeCell="I44" sqref="F36:I44"/>
    </sheetView>
  </sheetViews>
  <sheetFormatPr defaultColWidth="8.85546875" defaultRowHeight="15" outlineLevelCol="1" x14ac:dyDescent="0.25"/>
  <cols>
    <col min="1" max="1" width="8.85546875" style="99"/>
    <col min="2" max="2" width="57.7109375" style="99" bestFit="1" customWidth="1" outlineLevel="1"/>
    <col min="3" max="3" width="35" style="99" bestFit="1" customWidth="1" outlineLevel="1"/>
    <col min="4" max="5" width="8.85546875" style="99"/>
    <col min="6" max="6" width="57.7109375" style="99" bestFit="1" customWidth="1"/>
    <col min="7" max="7" width="17.7109375" style="101" bestFit="1" customWidth="1"/>
    <col min="8" max="8" width="12" style="101" bestFit="1" customWidth="1"/>
    <col min="9" max="9" width="19.28515625" style="100" bestFit="1" customWidth="1"/>
    <col min="10" max="10" width="11.28515625" style="100" bestFit="1" customWidth="1"/>
    <col min="11" max="11" width="12.28515625" style="100" customWidth="1"/>
    <col min="12" max="12" width="11.28515625" style="100" bestFit="1" customWidth="1"/>
    <col min="13" max="13" width="7.7109375" style="100" bestFit="1" customWidth="1"/>
    <col min="14" max="25" width="8.85546875" style="100"/>
    <col min="26" max="16384" width="8.85546875" style="99"/>
  </cols>
  <sheetData>
    <row r="1" spans="1:9" x14ac:dyDescent="0.25">
      <c r="A1" s="190">
        <v>1</v>
      </c>
    </row>
    <row r="3" spans="1:9" x14ac:dyDescent="0.25">
      <c r="B3" s="133"/>
      <c r="C3" s="133"/>
      <c r="F3" s="102"/>
      <c r="G3" s="104"/>
    </row>
    <row r="4" spans="1:9" x14ac:dyDescent="0.25">
      <c r="B4" s="199" t="s">
        <v>20</v>
      </c>
      <c r="C4" s="199" t="s">
        <v>203</v>
      </c>
      <c r="E4" s="248" t="s">
        <v>184</v>
      </c>
      <c r="F4" s="133" t="str">
        <f>IF($A$1=1,B4,C4)</f>
        <v>ACQUISIZIONE IMMOBILE</v>
      </c>
      <c r="G4" s="134"/>
      <c r="H4" s="132"/>
      <c r="I4" s="126"/>
    </row>
    <row r="5" spans="1:9" x14ac:dyDescent="0.25">
      <c r="B5" s="191" t="s">
        <v>153</v>
      </c>
      <c r="C5" s="191" t="s">
        <v>204</v>
      </c>
      <c r="E5" s="248"/>
      <c r="F5" s="99" t="str">
        <f>IF($A$1=1,B5,C5)</f>
        <v>Prezzo di acquisto dell'immobile</v>
      </c>
      <c r="G5" s="194">
        <v>70000000</v>
      </c>
    </row>
    <row r="6" spans="1:9" x14ac:dyDescent="0.25">
      <c r="B6" s="191" t="s">
        <v>154</v>
      </c>
      <c r="C6" s="191" t="s">
        <v>206</v>
      </c>
      <c r="E6" s="248"/>
      <c r="F6" s="99" t="str">
        <f>IF($A$1=1,B6,C6)</f>
        <v>Canone di locazione annuale lordo</v>
      </c>
      <c r="G6" s="100">
        <f>G5*H6</f>
        <v>5040000</v>
      </c>
      <c r="H6" s="200">
        <v>7.1999999999999995E-2</v>
      </c>
      <c r="I6" s="194" t="s">
        <v>191</v>
      </c>
    </row>
    <row r="7" spans="1:9" x14ac:dyDescent="0.25">
      <c r="B7" s="191" t="s">
        <v>2</v>
      </c>
      <c r="C7" s="191" t="s">
        <v>207</v>
      </c>
      <c r="E7" s="248"/>
      <c r="F7" s="99" t="str">
        <f>IF($A$1=1,B7,C7)</f>
        <v>IVA</v>
      </c>
      <c r="G7" s="100">
        <f>G5*H7</f>
        <v>15400000</v>
      </c>
      <c r="H7" s="195">
        <v>0.22</v>
      </c>
      <c r="I7" s="194">
        <v>3</v>
      </c>
    </row>
    <row r="8" spans="1:9" x14ac:dyDescent="0.25">
      <c r="B8" s="191" t="s">
        <v>384</v>
      </c>
      <c r="C8" s="191" t="s">
        <v>208</v>
      </c>
      <c r="E8" s="248"/>
      <c r="F8" s="99" t="str">
        <f>IF($A$1=1,B8,C8)</f>
        <v>Aspettativa incremento annuale del canone</v>
      </c>
      <c r="G8" s="200">
        <v>0.02</v>
      </c>
    </row>
    <row r="11" spans="1:9" ht="15.75" thickBot="1" x14ac:dyDescent="0.3">
      <c r="E11" s="139"/>
      <c r="F11" s="131" t="str">
        <f>IF($A$1=1,B12,C12)</f>
        <v>Imposta sostitutiva</v>
      </c>
      <c r="G11" s="137"/>
      <c r="H11" s="137"/>
    </row>
    <row r="12" spans="1:9" ht="15.75" thickTop="1" x14ac:dyDescent="0.25">
      <c r="B12" s="191" t="s">
        <v>125</v>
      </c>
      <c r="C12" s="191" t="s">
        <v>192</v>
      </c>
      <c r="E12" s="139"/>
      <c r="F12" s="99" t="str">
        <f>IF($A$1=1,B13,C13)</f>
        <v>Arrangement Fee</v>
      </c>
      <c r="G12" s="193">
        <v>2.5000000000000001E-3</v>
      </c>
      <c r="H12" s="100"/>
      <c r="I12" s="98"/>
    </row>
    <row r="13" spans="1:9" x14ac:dyDescent="0.25">
      <c r="B13" s="192" t="s">
        <v>14</v>
      </c>
      <c r="C13" s="192" t="s">
        <v>14</v>
      </c>
      <c r="E13" s="139"/>
      <c r="F13" s="114"/>
      <c r="G13" s="193">
        <v>0.01</v>
      </c>
      <c r="H13" s="100"/>
      <c r="I13" s="98"/>
    </row>
    <row r="14" spans="1:9" x14ac:dyDescent="0.25">
      <c r="E14" s="139"/>
      <c r="G14" s="98"/>
      <c r="H14" s="100"/>
      <c r="I14" s="98"/>
    </row>
    <row r="15" spans="1:9" x14ac:dyDescent="0.25">
      <c r="B15" s="191" t="s">
        <v>13</v>
      </c>
      <c r="C15" s="191" t="s">
        <v>193</v>
      </c>
      <c r="E15" s="139"/>
      <c r="F15" s="99" t="str">
        <f t="shared" ref="F15:F62" si="0">IF($A$1=1,B15,C15)</f>
        <v xml:space="preserve">Tasso </v>
      </c>
      <c r="G15" s="102" t="str">
        <f>IF($A$1=1,"Linea Acquisizione","Acq. Line")</f>
        <v>Linea Acquisizione</v>
      </c>
      <c r="H15" s="103" t="str">
        <f>IF($A$1=1,"Linea IVA","VAT Line")</f>
        <v>Linea IVA</v>
      </c>
      <c r="I15" s="101"/>
    </row>
    <row r="16" spans="1:9" x14ac:dyDescent="0.25">
      <c r="B16" s="191" t="s">
        <v>25</v>
      </c>
      <c r="C16" s="191" t="s">
        <v>194</v>
      </c>
      <c r="E16" s="139"/>
      <c r="F16" s="99" t="str">
        <f t="shared" si="0"/>
        <v xml:space="preserve">Margine </v>
      </c>
      <c r="G16" s="194" t="s">
        <v>157</v>
      </c>
      <c r="H16" s="194" t="s">
        <v>157</v>
      </c>
    </row>
    <row r="17" spans="2:8" x14ac:dyDescent="0.25">
      <c r="B17" s="192" t="s">
        <v>26</v>
      </c>
      <c r="C17" s="192" t="s">
        <v>195</v>
      </c>
      <c r="E17" s="139"/>
      <c r="F17" s="99" t="str">
        <f t="shared" si="0"/>
        <v>minore</v>
      </c>
      <c r="G17" s="195">
        <v>0.6</v>
      </c>
      <c r="H17" s="193">
        <v>0.02</v>
      </c>
    </row>
    <row r="18" spans="2:8" x14ac:dyDescent="0.25">
      <c r="B18" s="192" t="s">
        <v>27</v>
      </c>
      <c r="C18" s="192" t="s">
        <v>196</v>
      </c>
      <c r="E18" s="139"/>
      <c r="F18" s="114" t="str">
        <f t="shared" si="0"/>
        <v>maggiore</v>
      </c>
      <c r="G18" s="193">
        <v>1.7500000000000002E-2</v>
      </c>
      <c r="H18" s="123"/>
    </row>
    <row r="19" spans="2:8" x14ac:dyDescent="0.25">
      <c r="E19" s="139"/>
      <c r="F19" s="114"/>
      <c r="G19" s="193">
        <v>2.2499999999999999E-2</v>
      </c>
      <c r="H19" s="123"/>
    </row>
    <row r="20" spans="2:8" x14ac:dyDescent="0.25">
      <c r="B20" s="196" t="s">
        <v>15</v>
      </c>
      <c r="C20" s="196" t="s">
        <v>15</v>
      </c>
      <c r="E20" s="139"/>
      <c r="F20" s="99" t="str">
        <f t="shared" si="0"/>
        <v>Covenant</v>
      </c>
    </row>
    <row r="21" spans="2:8" x14ac:dyDescent="0.25">
      <c r="B21" s="191" t="s">
        <v>0</v>
      </c>
      <c r="C21" s="191" t="s">
        <v>0</v>
      </c>
      <c r="E21" s="139"/>
      <c r="F21" s="102" t="str">
        <f t="shared" si="0"/>
        <v>LTV</v>
      </c>
    </row>
    <row r="22" spans="2:8" x14ac:dyDescent="0.25">
      <c r="B22" s="191" t="s">
        <v>6</v>
      </c>
      <c r="C22" s="191" t="s">
        <v>6</v>
      </c>
      <c r="E22" s="139"/>
      <c r="F22" s="99" t="str">
        <f t="shared" si="0"/>
        <v>ICR</v>
      </c>
      <c r="G22" s="195">
        <v>0.7</v>
      </c>
    </row>
    <row r="23" spans="2:8" x14ac:dyDescent="0.25">
      <c r="E23" s="139"/>
      <c r="G23" s="195">
        <v>1.7</v>
      </c>
    </row>
    <row r="24" spans="2:8" ht="15.75" thickBot="1" x14ac:dyDescent="0.3">
      <c r="B24" s="197" t="s">
        <v>18</v>
      </c>
      <c r="C24" s="197" t="s">
        <v>197</v>
      </c>
      <c r="F24" s="99" t="str">
        <f t="shared" si="0"/>
        <v>Copertura</v>
      </c>
      <c r="G24" s="104"/>
    </row>
    <row r="25" spans="2:8" ht="16.5" thickTop="1" thickBot="1" x14ac:dyDescent="0.3">
      <c r="B25" s="191" t="s">
        <v>159</v>
      </c>
      <c r="C25" s="191" t="s">
        <v>198</v>
      </c>
      <c r="E25" s="248" t="s">
        <v>183</v>
      </c>
      <c r="F25" s="131" t="str">
        <f t="shared" si="0"/>
        <v>Costo copertura Cap</v>
      </c>
      <c r="G25" s="136"/>
      <c r="H25" s="137"/>
    </row>
    <row r="26" spans="2:8" ht="15.75" thickTop="1" x14ac:dyDescent="0.25">
      <c r="B26" s="191" t="s">
        <v>158</v>
      </c>
      <c r="C26" s="191" t="s">
        <v>372</v>
      </c>
      <c r="E26" s="248"/>
      <c r="F26" s="99" t="str">
        <f t="shared" si="0"/>
        <v>Euribor 12 mesi (tasso di mercato al momento dell'erogazione)</v>
      </c>
      <c r="G26" s="193">
        <v>1.2500000000000001E-2</v>
      </c>
      <c r="H26" s="105"/>
    </row>
    <row r="27" spans="2:8" x14ac:dyDescent="0.25">
      <c r="B27" s="191" t="s">
        <v>156</v>
      </c>
      <c r="C27" s="191" t="s">
        <v>373</v>
      </c>
      <c r="E27" s="248"/>
      <c r="F27" s="99" t="str">
        <f t="shared" si="0"/>
        <v>Euribor 12 mesi (ipotesi di analisi cap)</v>
      </c>
      <c r="G27" s="193">
        <v>7.4999999999999997E-3</v>
      </c>
      <c r="H27" s="105"/>
    </row>
    <row r="28" spans="2:8" x14ac:dyDescent="0.25">
      <c r="E28" s="248"/>
      <c r="F28" s="191" t="s">
        <v>181</v>
      </c>
      <c r="G28" s="193">
        <v>0.03</v>
      </c>
    </row>
    <row r="29" spans="2:8" ht="15.75" thickBot="1" x14ac:dyDescent="0.3">
      <c r="B29" s="197" t="s">
        <v>131</v>
      </c>
      <c r="C29" s="197" t="s">
        <v>199</v>
      </c>
      <c r="E29" s="248"/>
      <c r="F29" s="99" t="str">
        <f t="shared" si="0"/>
        <v>Linea</v>
      </c>
      <c r="G29" s="98"/>
    </row>
    <row r="30" spans="2:8" ht="16.5" thickTop="1" thickBot="1" x14ac:dyDescent="0.3">
      <c r="B30" s="191" t="s">
        <v>31</v>
      </c>
      <c r="C30" s="191" t="s">
        <v>200</v>
      </c>
      <c r="E30" s="248"/>
      <c r="F30" s="131" t="str">
        <f t="shared" si="0"/>
        <v>Tasso Finale Linea Acquisizione &lt;LTV</v>
      </c>
      <c r="G30" s="102" t="str">
        <f>IF($A$1=1,"Iniziale","Current")</f>
        <v>Iniziale</v>
      </c>
      <c r="H30" s="198" t="s">
        <v>130</v>
      </c>
    </row>
    <row r="31" spans="2:8" ht="15.75" thickTop="1" x14ac:dyDescent="0.25">
      <c r="B31" s="191" t="s">
        <v>30</v>
      </c>
      <c r="C31" s="191" t="s">
        <v>201</v>
      </c>
      <c r="E31" s="248"/>
      <c r="F31" s="99" t="str">
        <f t="shared" si="0"/>
        <v>Tasso Finale Linea Acquisizione &gt;LTV</v>
      </c>
      <c r="G31" s="108">
        <f>$G$27+G18</f>
        <v>2.5000000000000001E-2</v>
      </c>
      <c r="H31" s="108">
        <f>G28+G18</f>
        <v>4.7500000000000001E-2</v>
      </c>
    </row>
    <row r="32" spans="2:8" x14ac:dyDescent="0.25">
      <c r="B32" s="191" t="s">
        <v>31</v>
      </c>
      <c r="C32" s="191" t="s">
        <v>200</v>
      </c>
      <c r="E32" s="248"/>
      <c r="F32" s="99" t="str">
        <f t="shared" si="0"/>
        <v>Tasso Finale Linea Acquisizione &lt;LTV</v>
      </c>
      <c r="G32" s="108">
        <f>$G$27+G19</f>
        <v>0.03</v>
      </c>
      <c r="H32" s="108">
        <f>G28+G19</f>
        <v>5.2499999999999998E-2</v>
      </c>
    </row>
    <row r="33" spans="2:12" x14ac:dyDescent="0.25">
      <c r="B33" s="191" t="s">
        <v>19</v>
      </c>
      <c r="C33" s="191" t="s">
        <v>202</v>
      </c>
      <c r="E33" s="248"/>
      <c r="F33" s="99" t="str">
        <f t="shared" si="0"/>
        <v>Tasso Finale Linea IVA</v>
      </c>
      <c r="G33" s="108">
        <f>$G$27+H17</f>
        <v>2.75E-2</v>
      </c>
      <c r="H33" s="108">
        <f>G28+H17</f>
        <v>0.05</v>
      </c>
    </row>
    <row r="34" spans="2:12" x14ac:dyDescent="0.25">
      <c r="E34" s="180"/>
      <c r="G34" s="108"/>
      <c r="H34" s="108"/>
    </row>
    <row r="35" spans="2:12" x14ac:dyDescent="0.25">
      <c r="E35" s="180"/>
      <c r="G35" s="109"/>
    </row>
    <row r="36" spans="2:12" ht="15.75" thickBot="1" x14ac:dyDescent="0.3">
      <c r="B36" s="197" t="s">
        <v>16</v>
      </c>
      <c r="C36" s="197" t="s">
        <v>209</v>
      </c>
      <c r="F36" s="131" t="str">
        <f t="shared" si="0"/>
        <v>FINANZIAMENTO</v>
      </c>
      <c r="G36" s="202" t="s">
        <v>189</v>
      </c>
      <c r="H36" s="202" t="s">
        <v>190</v>
      </c>
      <c r="I36" s="198" t="s">
        <v>182</v>
      </c>
    </row>
    <row r="37" spans="2:12" ht="15.75" thickTop="1" x14ac:dyDescent="0.25">
      <c r="B37" s="191" t="s">
        <v>8</v>
      </c>
      <c r="C37" s="191" t="s">
        <v>210</v>
      </c>
      <c r="E37" s="248" t="s">
        <v>185</v>
      </c>
      <c r="F37" s="99" t="str">
        <f t="shared" si="0"/>
        <v>Importo Massimo</v>
      </c>
      <c r="G37" s="100"/>
      <c r="I37" s="194">
        <v>50000000</v>
      </c>
    </row>
    <row r="38" spans="2:12" x14ac:dyDescent="0.25">
      <c r="B38" s="191" t="s">
        <v>17</v>
      </c>
      <c r="C38" s="191" t="s">
        <v>211</v>
      </c>
      <c r="E38" s="248"/>
      <c r="F38" s="99" t="str">
        <f t="shared" si="0"/>
        <v>Vincolo LTV</v>
      </c>
      <c r="G38" s="195">
        <v>0.7</v>
      </c>
      <c r="H38" s="100"/>
      <c r="I38" s="100">
        <f>MIN(G5*G38,I37)</f>
        <v>49000000</v>
      </c>
    </row>
    <row r="39" spans="2:12" x14ac:dyDescent="0.25">
      <c r="B39" s="201" t="s">
        <v>129</v>
      </c>
      <c r="C39" s="201" t="s">
        <v>212</v>
      </c>
      <c r="E39" s="248"/>
      <c r="F39" s="125" t="str">
        <f t="shared" si="0"/>
        <v>Vincolo ICR (OF Max = Flusso/ICR)</v>
      </c>
      <c r="G39" s="203">
        <v>1.7</v>
      </c>
      <c r="H39" s="126">
        <f>H50/G39</f>
        <v>2816470.588235294</v>
      </c>
      <c r="I39" s="126">
        <f>H39/G32</f>
        <v>93882352.941176474</v>
      </c>
    </row>
    <row r="40" spans="2:12" x14ac:dyDescent="0.25">
      <c r="B40" s="196" t="s">
        <v>132</v>
      </c>
      <c r="C40" s="196" t="s">
        <v>213</v>
      </c>
      <c r="E40" s="248"/>
      <c r="F40" s="102" t="str">
        <f t="shared" si="0"/>
        <v>Finanziamento ACQUISIZIONE</v>
      </c>
      <c r="G40" s="104"/>
      <c r="I40" s="103">
        <f>MIN(I37:I39)</f>
        <v>49000000</v>
      </c>
    </row>
    <row r="41" spans="2:12" x14ac:dyDescent="0.25">
      <c r="B41" s="102"/>
      <c r="C41" s="102"/>
      <c r="E41" s="248"/>
      <c r="F41" s="102"/>
      <c r="G41" s="104"/>
      <c r="I41" s="103"/>
    </row>
    <row r="42" spans="2:12" x14ac:dyDescent="0.25">
      <c r="B42" s="191" t="s">
        <v>8</v>
      </c>
      <c r="C42" s="191" t="s">
        <v>214</v>
      </c>
      <c r="E42" s="248"/>
      <c r="F42" s="99" t="str">
        <f t="shared" si="0"/>
        <v>Importo Massimo</v>
      </c>
      <c r="G42" s="100"/>
      <c r="I42" s="194">
        <v>10000000</v>
      </c>
    </row>
    <row r="43" spans="2:12" x14ac:dyDescent="0.25">
      <c r="B43" s="201" t="s">
        <v>10</v>
      </c>
      <c r="C43" s="201" t="s">
        <v>215</v>
      </c>
      <c r="E43" s="248"/>
      <c r="F43" s="125" t="str">
        <f>IF($A$1=1,B43,C43)</f>
        <v>% massima IVA</v>
      </c>
      <c r="G43" s="203">
        <v>1</v>
      </c>
      <c r="H43" s="126"/>
      <c r="I43" s="126">
        <f>G7*G43</f>
        <v>15400000</v>
      </c>
    </row>
    <row r="44" spans="2:12" x14ac:dyDescent="0.25">
      <c r="B44" s="196" t="s">
        <v>5</v>
      </c>
      <c r="C44" s="196" t="s">
        <v>216</v>
      </c>
      <c r="E44" s="248"/>
      <c r="F44" s="102" t="str">
        <f>IF($A$1=1,B44,C44)</f>
        <v>Finanziamento IVA</v>
      </c>
      <c r="G44" s="104"/>
      <c r="I44" s="103">
        <f>MIN(I42:I43)</f>
        <v>10000000</v>
      </c>
    </row>
    <row r="45" spans="2:12" ht="15.75" thickBot="1" x14ac:dyDescent="0.3">
      <c r="B45" s="131"/>
      <c r="C45" s="131"/>
      <c r="G45" s="100"/>
    </row>
    <row r="46" spans="2:12" ht="16.5" thickTop="1" thickBot="1" x14ac:dyDescent="0.3">
      <c r="B46" s="197" t="s">
        <v>95</v>
      </c>
      <c r="C46" s="197" t="s">
        <v>217</v>
      </c>
      <c r="E46" s="248" t="s">
        <v>186</v>
      </c>
      <c r="F46" s="131" t="str">
        <f t="shared" ref="F46:F53" si="1">IF($A$1=1,B46,C46)</f>
        <v>FLUSSI</v>
      </c>
      <c r="G46" s="204">
        <v>0</v>
      </c>
      <c r="H46" s="204">
        <v>1</v>
      </c>
      <c r="I46" s="204">
        <v>2</v>
      </c>
      <c r="J46" s="204">
        <v>3</v>
      </c>
      <c r="K46" s="204">
        <v>4</v>
      </c>
      <c r="L46" s="204">
        <v>5</v>
      </c>
    </row>
    <row r="47" spans="2:12" ht="15.75" thickTop="1" x14ac:dyDescent="0.25">
      <c r="B47" s="196" t="s">
        <v>133</v>
      </c>
      <c r="C47" s="196" t="s">
        <v>218</v>
      </c>
      <c r="E47" s="248"/>
      <c r="F47" s="102" t="str">
        <f t="shared" si="1"/>
        <v>Ipotesi valore mercato immobile</v>
      </c>
      <c r="G47" s="123">
        <f>G5</f>
        <v>70000000</v>
      </c>
      <c r="H47" s="110">
        <f>H48*(1+$G$8)/$H$6</f>
        <v>71400000</v>
      </c>
      <c r="I47" s="110">
        <f>I48*(1+$G$8)/$H$6</f>
        <v>72828000</v>
      </c>
      <c r="J47" s="110">
        <f>J48*(1+$G$8)/$H$6</f>
        <v>74284560.000000015</v>
      </c>
      <c r="K47" s="110">
        <f>K48*(1+$G$8)/$H$6</f>
        <v>75770251.200000018</v>
      </c>
      <c r="L47" s="110">
        <f>L48*(1+$G$8)/$H$6</f>
        <v>77285656.224000022</v>
      </c>
    </row>
    <row r="48" spans="2:12" x14ac:dyDescent="0.25">
      <c r="B48" s="191" t="s">
        <v>154</v>
      </c>
      <c r="C48" s="191" t="s">
        <v>219</v>
      </c>
      <c r="E48" s="248"/>
      <c r="F48" s="99" t="str">
        <f t="shared" si="1"/>
        <v>Canone di locazione annuale lordo</v>
      </c>
      <c r="G48" s="100"/>
      <c r="H48" s="100">
        <f>G6</f>
        <v>5040000</v>
      </c>
      <c r="I48" s="100">
        <f t="shared" ref="I48:L49" si="2">H48*(1+$G$8)</f>
        <v>5140800</v>
      </c>
      <c r="J48" s="100">
        <f t="shared" si="2"/>
        <v>5243616</v>
      </c>
      <c r="K48" s="100">
        <f t="shared" si="2"/>
        <v>5348488.32</v>
      </c>
      <c r="L48" s="100">
        <f t="shared" si="2"/>
        <v>5455458.0864000004</v>
      </c>
    </row>
    <row r="49" spans="2:25" x14ac:dyDescent="0.25">
      <c r="B49" s="201" t="s">
        <v>155</v>
      </c>
      <c r="C49" s="201" t="s">
        <v>220</v>
      </c>
      <c r="E49" s="248"/>
      <c r="F49" s="125" t="str">
        <f t="shared" si="1"/>
        <v>Spese operative annuali</v>
      </c>
      <c r="G49" s="126"/>
      <c r="H49" s="126">
        <f>-H48*M49</f>
        <v>-252000</v>
      </c>
      <c r="I49" s="126">
        <f t="shared" si="2"/>
        <v>-257040</v>
      </c>
      <c r="J49" s="126">
        <f t="shared" si="2"/>
        <v>-262180.8</v>
      </c>
      <c r="K49" s="126">
        <f t="shared" si="2"/>
        <v>-267424.41599999997</v>
      </c>
      <c r="L49" s="126">
        <f t="shared" si="2"/>
        <v>-272772.90431999997</v>
      </c>
      <c r="M49" s="200">
        <v>0.05</v>
      </c>
    </row>
    <row r="50" spans="2:25" s="102" customFormat="1" x14ac:dyDescent="0.25">
      <c r="B50" s="196" t="s">
        <v>28</v>
      </c>
      <c r="C50" s="196" t="s">
        <v>221</v>
      </c>
      <c r="E50" s="248"/>
      <c r="F50" s="102" t="str">
        <f t="shared" si="1"/>
        <v>Flusso Gestionale</v>
      </c>
      <c r="G50" s="103"/>
      <c r="H50" s="103">
        <f>SUM(H48:H49)</f>
        <v>4788000</v>
      </c>
      <c r="I50" s="103">
        <f>SUM(I48:I49)</f>
        <v>4883760</v>
      </c>
      <c r="J50" s="103">
        <f>SUM(J48:J49)</f>
        <v>4981435.2</v>
      </c>
      <c r="K50" s="103">
        <f>SUM(K48:K49)</f>
        <v>5081063.9040000001</v>
      </c>
      <c r="L50" s="103">
        <f>SUM(L48:L49)</f>
        <v>5182685.1820800006</v>
      </c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</row>
    <row r="51" spans="2:25" x14ac:dyDescent="0.25">
      <c r="B51" s="191" t="s">
        <v>41</v>
      </c>
      <c r="C51" s="191" t="s">
        <v>222</v>
      </c>
      <c r="E51" s="248"/>
      <c r="F51" s="99" t="str">
        <f t="shared" si="1"/>
        <v xml:space="preserve">Investimento </v>
      </c>
      <c r="G51" s="100">
        <f>-G5</f>
        <v>-70000000</v>
      </c>
      <c r="H51" s="100"/>
    </row>
    <row r="52" spans="2:25" x14ac:dyDescent="0.25">
      <c r="B52" s="191" t="s">
        <v>43</v>
      </c>
      <c r="C52" s="191" t="s">
        <v>223</v>
      </c>
      <c r="E52" s="248"/>
      <c r="F52" s="99" t="str">
        <f t="shared" si="1"/>
        <v>Disinvestimento %</v>
      </c>
      <c r="G52" s="100"/>
      <c r="H52" s="195">
        <v>0</v>
      </c>
      <c r="I52" s="195">
        <v>0</v>
      </c>
      <c r="J52" s="195">
        <v>0</v>
      </c>
      <c r="K52" s="195">
        <v>0</v>
      </c>
      <c r="L52" s="111">
        <f>1-SUM(G52:K52)</f>
        <v>1</v>
      </c>
    </row>
    <row r="53" spans="2:25" x14ac:dyDescent="0.25">
      <c r="B53" s="201" t="s">
        <v>42</v>
      </c>
      <c r="C53" s="201" t="s">
        <v>224</v>
      </c>
      <c r="E53" s="248"/>
      <c r="F53" s="125" t="str">
        <f t="shared" si="1"/>
        <v>Disinvestimento</v>
      </c>
      <c r="G53" s="126">
        <f t="shared" ref="G53:L53" si="3">G47*G52</f>
        <v>0</v>
      </c>
      <c r="H53" s="126">
        <f t="shared" si="3"/>
        <v>0</v>
      </c>
      <c r="I53" s="126">
        <f t="shared" si="3"/>
        <v>0</v>
      </c>
      <c r="J53" s="126">
        <f t="shared" si="3"/>
        <v>0</v>
      </c>
      <c r="K53" s="126">
        <f t="shared" si="3"/>
        <v>0</v>
      </c>
      <c r="L53" s="126">
        <f t="shared" si="3"/>
        <v>77285656.224000022</v>
      </c>
    </row>
    <row r="54" spans="2:25" s="102" customFormat="1" x14ac:dyDescent="0.25">
      <c r="B54" s="196" t="s">
        <v>29</v>
      </c>
      <c r="C54" s="196" t="s">
        <v>225</v>
      </c>
      <c r="E54" s="248"/>
      <c r="G54" s="103">
        <f t="shared" ref="G54:L54" si="4">SUM(G50:G53)</f>
        <v>-70000000</v>
      </c>
      <c r="H54" s="103">
        <f t="shared" si="4"/>
        <v>4788000</v>
      </c>
      <c r="I54" s="103">
        <f t="shared" si="4"/>
        <v>4883760</v>
      </c>
      <c r="J54" s="103">
        <f t="shared" si="4"/>
        <v>4981435.2</v>
      </c>
      <c r="K54" s="103">
        <f t="shared" si="4"/>
        <v>5081063.9040000001</v>
      </c>
      <c r="L54" s="103">
        <f t="shared" si="4"/>
        <v>82468342.406080022</v>
      </c>
      <c r="M54" s="112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</row>
    <row r="55" spans="2:25" s="102" customFormat="1" x14ac:dyDescent="0.25">
      <c r="E55" s="248"/>
      <c r="G55" s="103"/>
      <c r="H55" s="103"/>
      <c r="I55" s="103"/>
      <c r="J55" s="103"/>
      <c r="K55" s="103"/>
      <c r="L55" s="103"/>
      <c r="M55" s="112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</row>
    <row r="56" spans="2:25" x14ac:dyDescent="0.25">
      <c r="B56" s="205" t="s">
        <v>32</v>
      </c>
      <c r="C56" s="205" t="s">
        <v>207</v>
      </c>
      <c r="E56" s="248"/>
      <c r="F56" s="127" t="str">
        <f t="shared" si="0"/>
        <v>Posizione IVA</v>
      </c>
      <c r="G56" s="128"/>
      <c r="H56" s="128"/>
      <c r="I56" s="128"/>
      <c r="J56" s="128"/>
      <c r="K56" s="128"/>
      <c r="L56" s="128"/>
    </row>
    <row r="57" spans="2:25" x14ac:dyDescent="0.25">
      <c r="B57" s="191" t="s">
        <v>382</v>
      </c>
      <c r="C57" s="191" t="s">
        <v>381</v>
      </c>
      <c r="E57" s="248"/>
      <c r="F57" s="114" t="str">
        <f t="shared" si="0"/>
        <v xml:space="preserve">IVA a credito nel periodo </v>
      </c>
      <c r="G57" s="100">
        <f>G54*$H$7</f>
        <v>-15400000</v>
      </c>
      <c r="H57" s="100"/>
      <c r="M57" s="113"/>
    </row>
    <row r="58" spans="2:25" ht="4.1500000000000004" customHeight="1" x14ac:dyDescent="0.25">
      <c r="B58" s="192" t="s">
        <v>165</v>
      </c>
      <c r="C58" s="192" t="s">
        <v>165</v>
      </c>
      <c r="E58" s="248"/>
      <c r="F58" s="114"/>
      <c r="G58" s="100"/>
      <c r="H58" s="100"/>
      <c r="M58" s="113"/>
    </row>
    <row r="59" spans="2:25" x14ac:dyDescent="0.25">
      <c r="B59" s="191" t="s">
        <v>380</v>
      </c>
      <c r="C59" s="191" t="s">
        <v>375</v>
      </c>
      <c r="E59" s="248"/>
      <c r="F59" s="99" t="str">
        <f>IF($A$1=1,B59,C59)</f>
        <v>Rimborso IVA</v>
      </c>
      <c r="G59" s="100"/>
      <c r="H59" s="100"/>
      <c r="J59" s="182">
        <f>-G57</f>
        <v>15400000</v>
      </c>
    </row>
    <row r="60" spans="2:25" ht="4.1500000000000004" customHeight="1" x14ac:dyDescent="0.25">
      <c r="B60" s="206" t="s">
        <v>38</v>
      </c>
      <c r="C60" s="206" t="s">
        <v>38</v>
      </c>
      <c r="E60" s="248"/>
      <c r="F60" s="99" t="str">
        <f t="shared" si="0"/>
        <v>Flusso IVA</v>
      </c>
      <c r="G60" s="100"/>
      <c r="H60" s="100"/>
      <c r="M60" s="113"/>
    </row>
    <row r="61" spans="2:25" x14ac:dyDescent="0.25">
      <c r="B61" s="191" t="s">
        <v>38</v>
      </c>
      <c r="C61" s="191" t="s">
        <v>379</v>
      </c>
      <c r="E61" s="248"/>
      <c r="F61" s="129" t="str">
        <f>IF($A$1=1,B61,C61)</f>
        <v>Flusso IVA</v>
      </c>
      <c r="G61" s="130">
        <f>G57+G59</f>
        <v>-15400000</v>
      </c>
      <c r="H61" s="130">
        <f t="shared" ref="H61:L61" si="5">H57+H59</f>
        <v>0</v>
      </c>
      <c r="I61" s="130">
        <f t="shared" si="5"/>
        <v>0</v>
      </c>
      <c r="J61" s="130">
        <f t="shared" si="5"/>
        <v>15400000</v>
      </c>
      <c r="K61" s="130">
        <f t="shared" si="5"/>
        <v>0</v>
      </c>
      <c r="L61" s="130">
        <f t="shared" si="5"/>
        <v>0</v>
      </c>
    </row>
    <row r="62" spans="2:25" x14ac:dyDescent="0.25">
      <c r="B62" s="196" t="s">
        <v>36</v>
      </c>
      <c r="C62" s="196" t="s">
        <v>231</v>
      </c>
      <c r="E62" s="248"/>
      <c r="F62" s="181" t="str">
        <f t="shared" si="0"/>
        <v>Flusso Operativo con IVA</v>
      </c>
      <c r="G62" s="155">
        <f>G54+G61</f>
        <v>-85400000</v>
      </c>
      <c r="H62" s="155">
        <f t="shared" ref="H62:L62" si="6">H54+H61</f>
        <v>4788000</v>
      </c>
      <c r="I62" s="155">
        <f t="shared" si="6"/>
        <v>4883760</v>
      </c>
      <c r="J62" s="155">
        <f t="shared" si="6"/>
        <v>20381435.199999999</v>
      </c>
      <c r="K62" s="155">
        <f t="shared" si="6"/>
        <v>5081063.9040000001</v>
      </c>
      <c r="L62" s="155">
        <f t="shared" si="6"/>
        <v>82468342.406080022</v>
      </c>
      <c r="M62" s="112"/>
    </row>
    <row r="63" spans="2:25" x14ac:dyDescent="0.25">
      <c r="B63" s="114"/>
      <c r="C63" s="114"/>
      <c r="E63" s="180"/>
      <c r="F63" s="102"/>
      <c r="G63" s="103"/>
      <c r="H63" s="103"/>
      <c r="I63" s="103"/>
      <c r="J63" s="103"/>
      <c r="K63" s="103"/>
      <c r="L63" s="103"/>
      <c r="M63" s="112"/>
    </row>
    <row r="64" spans="2:25" ht="15.75" thickBot="1" x14ac:dyDescent="0.3">
      <c r="B64" s="197" t="s">
        <v>9</v>
      </c>
      <c r="C64" s="197" t="s">
        <v>232</v>
      </c>
      <c r="E64" s="248" t="s">
        <v>187</v>
      </c>
      <c r="F64" s="131" t="str">
        <f t="shared" ref="F64:F96" si="7">IF($A$1=1,B64,C64)</f>
        <v>Linea Acquisizione</v>
      </c>
      <c r="G64" s="204">
        <v>0</v>
      </c>
      <c r="H64" s="204">
        <v>1</v>
      </c>
      <c r="I64" s="204">
        <v>2</v>
      </c>
      <c r="J64" s="204">
        <v>3</v>
      </c>
      <c r="K64" s="204">
        <v>4</v>
      </c>
      <c r="L64" s="204">
        <v>5</v>
      </c>
    </row>
    <row r="65" spans="2:25" ht="15.75" thickTop="1" x14ac:dyDescent="0.25">
      <c r="B65" s="192" t="s">
        <v>162</v>
      </c>
      <c r="C65" s="192" t="s">
        <v>233</v>
      </c>
      <c r="E65" s="248"/>
      <c r="F65" s="114" t="str">
        <f t="shared" si="7"/>
        <v>Finanziamento Iniziale</v>
      </c>
      <c r="G65" s="100"/>
      <c r="H65" s="115">
        <f>G71</f>
        <v>49000000</v>
      </c>
      <c r="I65" s="115">
        <f>H71</f>
        <v>49000000</v>
      </c>
      <c r="J65" s="115">
        <f>I71</f>
        <v>49000000</v>
      </c>
      <c r="K65" s="115">
        <f>J71</f>
        <v>49000000</v>
      </c>
      <c r="L65" s="115">
        <f>K71</f>
        <v>49000000</v>
      </c>
    </row>
    <row r="66" spans="2:25" x14ac:dyDescent="0.25">
      <c r="B66" s="191" t="s">
        <v>1</v>
      </c>
      <c r="C66" s="191" t="s">
        <v>234</v>
      </c>
      <c r="E66" s="248"/>
      <c r="F66" s="99" t="str">
        <f t="shared" si="7"/>
        <v>Erogazione</v>
      </c>
      <c r="G66" s="100">
        <f>I40</f>
        <v>49000000</v>
      </c>
      <c r="H66" s="100"/>
    </row>
    <row r="67" spans="2:25" x14ac:dyDescent="0.25">
      <c r="B67" s="191" t="s">
        <v>22</v>
      </c>
      <c r="C67" s="191" t="s">
        <v>22</v>
      </c>
      <c r="E67" s="248"/>
      <c r="F67" s="99" t="str">
        <f t="shared" si="7"/>
        <v>Arrangement fee</v>
      </c>
      <c r="G67" s="100">
        <f>-G66*$G$13</f>
        <v>-490000</v>
      </c>
      <c r="H67" s="100"/>
    </row>
    <row r="68" spans="2:25" x14ac:dyDescent="0.25">
      <c r="B68" s="191" t="s">
        <v>383</v>
      </c>
      <c r="C68" s="192" t="s">
        <v>305</v>
      </c>
      <c r="E68" s="248"/>
      <c r="F68" s="99" t="str">
        <f t="shared" si="7"/>
        <v>Costo Upfront copertura cap</v>
      </c>
      <c r="G68" s="100">
        <f>-G66*$G$26</f>
        <v>-612500</v>
      </c>
      <c r="H68" s="100"/>
    </row>
    <row r="69" spans="2:25" x14ac:dyDescent="0.25">
      <c r="B69" s="191" t="s">
        <v>125</v>
      </c>
      <c r="C69" s="191" t="s">
        <v>235</v>
      </c>
      <c r="E69" s="248"/>
      <c r="F69" s="99" t="str">
        <f t="shared" si="7"/>
        <v>Imposta sostitutiva</v>
      </c>
      <c r="G69" s="100">
        <f>-G66*$G$12</f>
        <v>-122500</v>
      </c>
      <c r="H69" s="100"/>
    </row>
    <row r="70" spans="2:25" x14ac:dyDescent="0.25">
      <c r="B70" s="191" t="s">
        <v>23</v>
      </c>
      <c r="C70" s="191" t="s">
        <v>374</v>
      </c>
      <c r="E70" s="248"/>
      <c r="F70" s="99" t="str">
        <f t="shared" si="7"/>
        <v>Rimborso</v>
      </c>
      <c r="G70" s="100">
        <f t="shared" ref="G70:L70" si="8">-MIN(G65,G53)</f>
        <v>0</v>
      </c>
      <c r="H70" s="100">
        <f t="shared" si="8"/>
        <v>0</v>
      </c>
      <c r="I70" s="100">
        <f t="shared" si="8"/>
        <v>0</v>
      </c>
      <c r="J70" s="100">
        <f t="shared" si="8"/>
        <v>0</v>
      </c>
      <c r="K70" s="100">
        <f t="shared" si="8"/>
        <v>0</v>
      </c>
      <c r="L70" s="100">
        <f t="shared" si="8"/>
        <v>-49000000</v>
      </c>
    </row>
    <row r="71" spans="2:25" x14ac:dyDescent="0.25">
      <c r="B71" s="192" t="s">
        <v>163</v>
      </c>
      <c r="C71" s="192" t="s">
        <v>236</v>
      </c>
      <c r="E71" s="248"/>
      <c r="F71" s="114" t="str">
        <f t="shared" si="7"/>
        <v>Finanziamento Finale</v>
      </c>
      <c r="G71" s="115">
        <f t="shared" ref="G71:L71" si="9">G65+G66+G70</f>
        <v>49000000</v>
      </c>
      <c r="H71" s="115">
        <f t="shared" si="9"/>
        <v>49000000</v>
      </c>
      <c r="I71" s="115">
        <f t="shared" si="9"/>
        <v>49000000</v>
      </c>
      <c r="J71" s="115">
        <f t="shared" si="9"/>
        <v>49000000</v>
      </c>
      <c r="K71" s="115">
        <f t="shared" si="9"/>
        <v>49000000</v>
      </c>
      <c r="L71" s="115">
        <f t="shared" si="9"/>
        <v>0</v>
      </c>
    </row>
    <row r="72" spans="2:25" x14ac:dyDescent="0.25">
      <c r="B72" s="192" t="s">
        <v>0</v>
      </c>
      <c r="C72" s="192" t="s">
        <v>0</v>
      </c>
      <c r="E72" s="248"/>
      <c r="F72" s="114" t="str">
        <f t="shared" si="7"/>
        <v>LTV</v>
      </c>
      <c r="G72" s="116"/>
      <c r="H72" s="116">
        <f>H65/H47</f>
        <v>0.68627450980392157</v>
      </c>
      <c r="I72" s="116">
        <f>I65/I47</f>
        <v>0.67281814686658981</v>
      </c>
      <c r="J72" s="116">
        <f>J65/J47</f>
        <v>0.65962563418293096</v>
      </c>
      <c r="K72" s="116">
        <f>K65/K47</f>
        <v>0.64669179821855982</v>
      </c>
      <c r="L72" s="116">
        <f>L65/L47</f>
        <v>0.63401156688094096</v>
      </c>
    </row>
    <row r="73" spans="2:25" x14ac:dyDescent="0.25">
      <c r="B73" s="201" t="s">
        <v>24</v>
      </c>
      <c r="C73" s="201" t="s">
        <v>237</v>
      </c>
      <c r="E73" s="248"/>
      <c r="F73" s="125" t="str">
        <f t="shared" si="7"/>
        <v>Interessi</v>
      </c>
      <c r="G73" s="126"/>
      <c r="H73" s="126">
        <f>-IF(H72&gt;$G$17,$H$32,$H$31)*H65</f>
        <v>-2572500</v>
      </c>
      <c r="I73" s="126">
        <f>-IF(I72&gt;$G$17,$H$32,$H$31)*I65</f>
        <v>-2572500</v>
      </c>
      <c r="J73" s="126">
        <f>-IF(J72&gt;$G$17,$H$32,$H$31)*J65</f>
        <v>-2572500</v>
      </c>
      <c r="K73" s="126">
        <f>-IF(K72&gt;$G$17,$H$32,$H$31)*K65</f>
        <v>-2572500</v>
      </c>
      <c r="L73" s="126">
        <f>-IF(L72&gt;$G$17,$H$32,$H$31)*L65</f>
        <v>-2572500</v>
      </c>
      <c r="N73" s="117"/>
      <c r="O73" s="117"/>
      <c r="P73" s="117"/>
    </row>
    <row r="74" spans="2:25" s="102" customFormat="1" x14ac:dyDescent="0.25">
      <c r="B74" s="196" t="s">
        <v>3</v>
      </c>
      <c r="C74" s="196" t="s">
        <v>239</v>
      </c>
      <c r="E74" s="248"/>
      <c r="F74" s="102" t="str">
        <f t="shared" si="7"/>
        <v>Flusso Linea Acquisizione</v>
      </c>
      <c r="G74" s="103">
        <f t="shared" ref="G74:L74" si="10">SUM(G66:G70)+G73</f>
        <v>47775000</v>
      </c>
      <c r="H74" s="103">
        <f t="shared" si="10"/>
        <v>-2572500</v>
      </c>
      <c r="I74" s="103">
        <f t="shared" si="10"/>
        <v>-2572500</v>
      </c>
      <c r="J74" s="103">
        <f t="shared" si="10"/>
        <v>-2572500</v>
      </c>
      <c r="K74" s="103">
        <f t="shared" si="10"/>
        <v>-2572500</v>
      </c>
      <c r="L74" s="103">
        <f t="shared" si="10"/>
        <v>-51572500</v>
      </c>
      <c r="M74" s="112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</row>
    <row r="75" spans="2:25" s="102" customFormat="1" x14ac:dyDescent="0.25">
      <c r="B75" s="191" t="s">
        <v>122</v>
      </c>
      <c r="C75" s="191" t="s">
        <v>122</v>
      </c>
      <c r="E75" s="248"/>
      <c r="F75" s="99" t="str">
        <f t="shared" si="7"/>
        <v>Covenant ISCR</v>
      </c>
      <c r="G75" s="118"/>
      <c r="H75" s="119">
        <f>-H$50/H73</f>
        <v>1.8612244897959183</v>
      </c>
      <c r="I75" s="119">
        <f>-I$50/I73</f>
        <v>1.8984489795918367</v>
      </c>
      <c r="J75" s="119">
        <f>-J$50/J73</f>
        <v>1.9364179591836734</v>
      </c>
      <c r="K75" s="119">
        <f>-K$50/K73</f>
        <v>1.975146318367347</v>
      </c>
      <c r="L75" s="119">
        <f>-L$50/L73</f>
        <v>2.0146492447346942</v>
      </c>
      <c r="M75" s="120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</row>
    <row r="76" spans="2:25" s="102" customFormat="1" x14ac:dyDescent="0.25">
      <c r="B76" s="191" t="s">
        <v>121</v>
      </c>
      <c r="C76" s="191" t="s">
        <v>121</v>
      </c>
      <c r="E76" s="248"/>
      <c r="F76" s="99" t="str">
        <f t="shared" si="7"/>
        <v>Check</v>
      </c>
      <c r="G76" s="118"/>
      <c r="H76" s="119" t="str">
        <f>IF(H75&gt;=$G$39,"OK","NO")</f>
        <v>OK</v>
      </c>
      <c r="I76" s="119" t="str">
        <f>IF(I75&gt;=$G$39,"OK","NO")</f>
        <v>OK</v>
      </c>
      <c r="J76" s="119" t="str">
        <f>IF(J75&gt;=$G$39,"OK","NO")</f>
        <v>OK</v>
      </c>
      <c r="K76" s="119" t="str">
        <f>IF(K75&gt;=$G$39,"OK","NO")</f>
        <v>OK</v>
      </c>
      <c r="L76" s="119" t="str">
        <f>IF(L75&gt;=$G$39,"OK","NO")</f>
        <v>OK</v>
      </c>
      <c r="M76" s="120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</row>
    <row r="77" spans="2:25" s="102" customFormat="1" x14ac:dyDescent="0.25">
      <c r="B77" s="191" t="s">
        <v>126</v>
      </c>
      <c r="C77" s="191" t="s">
        <v>126</v>
      </c>
      <c r="E77" s="248"/>
      <c r="F77" s="99" t="str">
        <f t="shared" si="7"/>
        <v>Yield on Debt</v>
      </c>
      <c r="G77" s="118"/>
      <c r="H77" s="119">
        <f>H50/H71</f>
        <v>9.7714285714285712E-2</v>
      </c>
      <c r="I77" s="119">
        <f>I50/I71</f>
        <v>9.9668571428571426E-2</v>
      </c>
      <c r="J77" s="119">
        <f>J50/J71</f>
        <v>0.10166194285714286</v>
      </c>
      <c r="K77" s="119">
        <f>K50/K71</f>
        <v>0.10369518171428571</v>
      </c>
      <c r="L77" s="119"/>
      <c r="M77" s="120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</row>
    <row r="78" spans="2:25" ht="15.75" thickBot="1" x14ac:dyDescent="0.3">
      <c r="B78" s="131"/>
      <c r="C78" s="131"/>
      <c r="E78" s="248"/>
      <c r="G78" s="100"/>
      <c r="H78" s="100"/>
    </row>
    <row r="79" spans="2:25" ht="16.5" thickTop="1" thickBot="1" x14ac:dyDescent="0.3">
      <c r="B79" s="197" t="s">
        <v>7</v>
      </c>
      <c r="C79" s="197" t="s">
        <v>238</v>
      </c>
      <c r="E79" s="248"/>
      <c r="F79" s="131" t="str">
        <f t="shared" si="7"/>
        <v>Linea IVA</v>
      </c>
      <c r="G79" s="204">
        <v>0</v>
      </c>
      <c r="H79" s="204">
        <v>1</v>
      </c>
      <c r="I79" s="204">
        <v>2</v>
      </c>
      <c r="J79" s="204">
        <v>3</v>
      </c>
      <c r="K79" s="204">
        <v>4</v>
      </c>
      <c r="L79" s="204">
        <v>5</v>
      </c>
    </row>
    <row r="80" spans="2:25" ht="15.75" thickTop="1" x14ac:dyDescent="0.25">
      <c r="B80" s="192" t="s">
        <v>162</v>
      </c>
      <c r="C80" s="192" t="s">
        <v>233</v>
      </c>
      <c r="E80" s="248"/>
      <c r="F80" s="114" t="str">
        <f t="shared" si="7"/>
        <v>Finanziamento Iniziale</v>
      </c>
      <c r="G80" s="100"/>
      <c r="H80" s="115">
        <f>G86</f>
        <v>10000000</v>
      </c>
      <c r="I80" s="115">
        <f>H86</f>
        <v>10000000</v>
      </c>
      <c r="J80" s="115">
        <f>I86</f>
        <v>10000000</v>
      </c>
      <c r="K80" s="115">
        <f>J86</f>
        <v>0</v>
      </c>
      <c r="L80" s="115">
        <f>K86</f>
        <v>0</v>
      </c>
    </row>
    <row r="81" spans="2:25" x14ac:dyDescent="0.25">
      <c r="B81" s="191" t="s">
        <v>1</v>
      </c>
      <c r="C81" s="191" t="s">
        <v>234</v>
      </c>
      <c r="E81" s="248"/>
      <c r="F81" s="99" t="str">
        <f t="shared" si="7"/>
        <v>Erogazione</v>
      </c>
      <c r="G81" s="100">
        <f>I44</f>
        <v>10000000</v>
      </c>
      <c r="H81" s="100"/>
    </row>
    <row r="82" spans="2:25" x14ac:dyDescent="0.25">
      <c r="B82" s="191" t="s">
        <v>22</v>
      </c>
      <c r="C82" s="191" t="s">
        <v>22</v>
      </c>
      <c r="E82" s="248"/>
      <c r="F82" s="99" t="str">
        <f t="shared" si="7"/>
        <v>Arrangement fee</v>
      </c>
      <c r="G82" s="100">
        <f>-G81*$G$13</f>
        <v>-100000</v>
      </c>
      <c r="H82" s="100"/>
    </row>
    <row r="83" spans="2:25" x14ac:dyDescent="0.25">
      <c r="B83" s="191" t="s">
        <v>383</v>
      </c>
      <c r="C83" s="192" t="s">
        <v>377</v>
      </c>
      <c r="E83" s="248"/>
      <c r="F83" s="99" t="str">
        <f t="shared" si="7"/>
        <v>Costo Upfront copertura cap</v>
      </c>
      <c r="G83" s="100">
        <f>-G81*$G$26</f>
        <v>-125000</v>
      </c>
      <c r="H83" s="100"/>
    </row>
    <row r="84" spans="2:25" x14ac:dyDescent="0.25">
      <c r="B84" s="191" t="s">
        <v>125</v>
      </c>
      <c r="C84" s="191" t="s">
        <v>235</v>
      </c>
      <c r="E84" s="248"/>
      <c r="F84" s="99" t="str">
        <f t="shared" si="7"/>
        <v>Imposta sostitutiva</v>
      </c>
      <c r="G84" s="100">
        <f>-G81*$G$12</f>
        <v>-25000</v>
      </c>
      <c r="H84" s="100"/>
    </row>
    <row r="85" spans="2:25" x14ac:dyDescent="0.25">
      <c r="B85" s="191" t="s">
        <v>23</v>
      </c>
      <c r="C85" s="191" t="s">
        <v>374</v>
      </c>
      <c r="E85" s="248"/>
      <c r="F85" s="99" t="str">
        <f t="shared" si="7"/>
        <v>Rimborso</v>
      </c>
      <c r="G85" s="100"/>
      <c r="H85" s="100"/>
      <c r="J85" s="182">
        <f t="shared" ref="J85" si="11">-MIN($G$81,J59)</f>
        <v>-10000000</v>
      </c>
    </row>
    <row r="86" spans="2:25" x14ac:dyDescent="0.25">
      <c r="B86" s="192" t="s">
        <v>163</v>
      </c>
      <c r="C86" s="192" t="s">
        <v>236</v>
      </c>
      <c r="E86" s="248"/>
      <c r="F86" s="114" t="str">
        <f t="shared" si="7"/>
        <v>Finanziamento Finale</v>
      </c>
      <c r="G86" s="115">
        <f t="shared" ref="G86:L86" si="12">G80+G81+G85</f>
        <v>10000000</v>
      </c>
      <c r="H86" s="115">
        <f t="shared" si="12"/>
        <v>10000000</v>
      </c>
      <c r="I86" s="115">
        <f t="shared" si="12"/>
        <v>10000000</v>
      </c>
      <c r="J86" s="115">
        <f t="shared" si="12"/>
        <v>0</v>
      </c>
      <c r="K86" s="115">
        <f t="shared" si="12"/>
        <v>0</v>
      </c>
      <c r="L86" s="115">
        <f t="shared" si="12"/>
        <v>0</v>
      </c>
    </row>
    <row r="87" spans="2:25" x14ac:dyDescent="0.25">
      <c r="B87" s="201" t="s">
        <v>24</v>
      </c>
      <c r="C87" s="201" t="s">
        <v>237</v>
      </c>
      <c r="E87" s="248"/>
      <c r="F87" s="125" t="str">
        <f t="shared" si="7"/>
        <v>Interessi</v>
      </c>
      <c r="G87" s="126"/>
      <c r="H87" s="126">
        <f>-$H$33*H80</f>
        <v>-500000</v>
      </c>
      <c r="I87" s="126">
        <f>-$H$33*I80</f>
        <v>-500000</v>
      </c>
      <c r="J87" s="126">
        <f>-$H$33*J80</f>
        <v>-500000</v>
      </c>
      <c r="K87" s="126">
        <f>-$H$33*K80</f>
        <v>0</v>
      </c>
      <c r="L87" s="126">
        <f>-$H$33*L80</f>
        <v>0</v>
      </c>
      <c r="M87" s="112"/>
    </row>
    <row r="88" spans="2:25" x14ac:dyDescent="0.25">
      <c r="B88" s="196" t="s">
        <v>4</v>
      </c>
      <c r="C88" s="196" t="s">
        <v>240</v>
      </c>
      <c r="E88" s="248"/>
      <c r="F88" s="127" t="str">
        <f t="shared" si="7"/>
        <v>Flusso Linea IVA</v>
      </c>
      <c r="G88" s="103">
        <f t="shared" ref="G88:L88" si="13">SUM(G81:G85)+G87</f>
        <v>9750000</v>
      </c>
      <c r="H88" s="103">
        <f t="shared" si="13"/>
        <v>-500000</v>
      </c>
      <c r="I88" s="103">
        <f t="shared" si="13"/>
        <v>-500000</v>
      </c>
      <c r="J88" s="103">
        <f t="shared" si="13"/>
        <v>-10500000</v>
      </c>
      <c r="K88" s="103">
        <f t="shared" si="13"/>
        <v>0</v>
      </c>
      <c r="L88" s="103">
        <f t="shared" si="13"/>
        <v>0</v>
      </c>
      <c r="M88" s="112"/>
    </row>
    <row r="89" spans="2:25" x14ac:dyDescent="0.25">
      <c r="B89" s="102"/>
      <c r="C89" s="102"/>
      <c r="E89" s="180"/>
      <c r="F89" s="102"/>
      <c r="G89" s="103"/>
      <c r="H89" s="103"/>
      <c r="I89" s="103"/>
      <c r="J89" s="103"/>
      <c r="K89" s="103"/>
      <c r="L89" s="103"/>
      <c r="M89" s="112"/>
    </row>
    <row r="90" spans="2:25" ht="15.75" thickBot="1" x14ac:dyDescent="0.3">
      <c r="B90" s="131"/>
      <c r="C90" s="131"/>
      <c r="F90" s="102"/>
      <c r="G90" s="103"/>
      <c r="H90" s="103"/>
      <c r="I90" s="103"/>
      <c r="J90" s="103"/>
      <c r="K90" s="103"/>
      <c r="L90" s="103"/>
      <c r="M90" s="112"/>
    </row>
    <row r="91" spans="2:25" ht="16.5" thickTop="1" thickBot="1" x14ac:dyDescent="0.3">
      <c r="B91" s="197" t="s">
        <v>123</v>
      </c>
      <c r="C91" s="197" t="s">
        <v>241</v>
      </c>
      <c r="E91" s="248" t="s">
        <v>188</v>
      </c>
      <c r="F91" s="131" t="str">
        <f t="shared" si="7"/>
        <v>Sintesi Flussi</v>
      </c>
      <c r="G91" s="204">
        <v>0</v>
      </c>
      <c r="H91" s="204">
        <v>1</v>
      </c>
      <c r="I91" s="204">
        <v>2</v>
      </c>
      <c r="J91" s="204">
        <v>3</v>
      </c>
      <c r="K91" s="204">
        <v>4</v>
      </c>
      <c r="L91" s="204">
        <v>5</v>
      </c>
      <c r="M91" s="207" t="s">
        <v>124</v>
      </c>
    </row>
    <row r="92" spans="2:25" ht="15.75" thickTop="1" x14ac:dyDescent="0.25">
      <c r="B92" s="99" t="str">
        <f>B54</f>
        <v>Flusso Immobiliare</v>
      </c>
      <c r="C92" s="99" t="str">
        <f>C54</f>
        <v>Property cash flows</v>
      </c>
      <c r="E92" s="248"/>
      <c r="F92" s="99" t="str">
        <f t="shared" si="7"/>
        <v>Flusso Immobiliare</v>
      </c>
      <c r="G92" s="100">
        <f t="shared" ref="G92:L92" si="14">G54</f>
        <v>-70000000</v>
      </c>
      <c r="H92" s="100">
        <f t="shared" si="14"/>
        <v>4788000</v>
      </c>
      <c r="I92" s="100">
        <f t="shared" si="14"/>
        <v>4883760</v>
      </c>
      <c r="J92" s="100">
        <f t="shared" si="14"/>
        <v>4981435.2</v>
      </c>
      <c r="K92" s="100">
        <f t="shared" si="14"/>
        <v>5081063.9040000001</v>
      </c>
      <c r="L92" s="100">
        <f t="shared" si="14"/>
        <v>82468342.406080022</v>
      </c>
      <c r="M92" s="113">
        <f>IRR(G92:L92)</f>
        <v>8.8400002308482772E-2</v>
      </c>
    </row>
    <row r="93" spans="2:25" x14ac:dyDescent="0.25">
      <c r="B93" s="99" t="str">
        <f>B62</f>
        <v>Flusso Operativo con IVA</v>
      </c>
      <c r="C93" s="99" t="str">
        <f>C62</f>
        <v>Operating cash flows (VAT)</v>
      </c>
      <c r="E93" s="248"/>
      <c r="F93" s="99" t="str">
        <f t="shared" si="7"/>
        <v>Flusso Operativo con IVA</v>
      </c>
      <c r="G93" s="100">
        <f t="shared" ref="G93:L93" si="15">G62</f>
        <v>-85400000</v>
      </c>
      <c r="H93" s="100">
        <f t="shared" si="15"/>
        <v>4788000</v>
      </c>
      <c r="I93" s="100">
        <f t="shared" si="15"/>
        <v>4883760</v>
      </c>
      <c r="J93" s="100">
        <f t="shared" si="15"/>
        <v>20381435.199999999</v>
      </c>
      <c r="K93" s="100">
        <f t="shared" si="15"/>
        <v>5081063.9040000001</v>
      </c>
      <c r="L93" s="100">
        <f t="shared" si="15"/>
        <v>82468342.406080022</v>
      </c>
      <c r="M93" s="112">
        <f>IRR(G93:L93)</f>
        <v>7.7776986855060182E-2</v>
      </c>
    </row>
    <row r="94" spans="2:25" s="102" customFormat="1" x14ac:dyDescent="0.25">
      <c r="B94" s="99" t="str">
        <f t="shared" ref="B94:C94" si="16">B74</f>
        <v>Flusso Linea Acquisizione</v>
      </c>
      <c r="C94" s="99" t="str">
        <f t="shared" si="16"/>
        <v>CF Acq. Line</v>
      </c>
      <c r="E94" s="248"/>
      <c r="F94" s="99" t="str">
        <f t="shared" si="7"/>
        <v>Flusso Linea Acquisizione</v>
      </c>
      <c r="G94" s="100">
        <f t="shared" ref="G94:L94" si="17">G74</f>
        <v>47775000</v>
      </c>
      <c r="H94" s="100">
        <f t="shared" si="17"/>
        <v>-2572500</v>
      </c>
      <c r="I94" s="100">
        <f t="shared" si="17"/>
        <v>-2572500</v>
      </c>
      <c r="J94" s="100">
        <f t="shared" si="17"/>
        <v>-2572500</v>
      </c>
      <c r="K94" s="100">
        <f t="shared" si="17"/>
        <v>-2572500</v>
      </c>
      <c r="L94" s="100">
        <f t="shared" si="17"/>
        <v>-51572500</v>
      </c>
      <c r="M94" s="113">
        <f>IRR(G94:L94)</f>
        <v>5.8409249755334347E-2</v>
      </c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</row>
    <row r="95" spans="2:25" x14ac:dyDescent="0.25">
      <c r="B95" s="125" t="str">
        <f t="shared" ref="B95:C95" si="18">B88</f>
        <v>Flusso Linea IVA</v>
      </c>
      <c r="C95" s="125" t="str">
        <f t="shared" si="18"/>
        <v>CF VAT Line</v>
      </c>
      <c r="E95" s="248"/>
      <c r="F95" s="125" t="str">
        <f t="shared" si="7"/>
        <v>Flusso Linea IVA</v>
      </c>
      <c r="G95" s="126">
        <f t="shared" ref="G95:L95" si="19">G88</f>
        <v>9750000</v>
      </c>
      <c r="H95" s="126">
        <f t="shared" si="19"/>
        <v>-500000</v>
      </c>
      <c r="I95" s="126">
        <f t="shared" si="19"/>
        <v>-500000</v>
      </c>
      <c r="J95" s="126">
        <f t="shared" si="19"/>
        <v>-10500000</v>
      </c>
      <c r="K95" s="126">
        <f t="shared" si="19"/>
        <v>0</v>
      </c>
      <c r="L95" s="126">
        <f t="shared" si="19"/>
        <v>0</v>
      </c>
      <c r="M95" s="138">
        <f>IRR(G95:L95)</f>
        <v>5.9341350158554906E-2</v>
      </c>
    </row>
    <row r="96" spans="2:25" x14ac:dyDescent="0.25">
      <c r="B96" s="196" t="s">
        <v>40</v>
      </c>
      <c r="C96" s="196" t="s">
        <v>242</v>
      </c>
      <c r="E96" s="248"/>
      <c r="F96" s="127" t="str">
        <f t="shared" si="7"/>
        <v>Flusso Azionista</v>
      </c>
      <c r="G96" s="103">
        <f t="shared" ref="G96:L96" si="20">SUM(G93:G95)</f>
        <v>-27875000</v>
      </c>
      <c r="H96" s="103">
        <f t="shared" si="20"/>
        <v>1715500</v>
      </c>
      <c r="I96" s="103">
        <f t="shared" si="20"/>
        <v>1811260</v>
      </c>
      <c r="J96" s="103">
        <f t="shared" si="20"/>
        <v>7308935.1999999993</v>
      </c>
      <c r="K96" s="103">
        <f t="shared" si="20"/>
        <v>2508563.9040000001</v>
      </c>
      <c r="L96" s="103">
        <f t="shared" si="20"/>
        <v>30895842.406080022</v>
      </c>
      <c r="M96" s="112">
        <f>IRR(G96:L96)</f>
        <v>0.11446333553002308</v>
      </c>
    </row>
    <row r="97" spans="7:12" x14ac:dyDescent="0.25">
      <c r="G97" s="121"/>
      <c r="H97" s="121"/>
      <c r="I97" s="121"/>
      <c r="J97" s="121"/>
      <c r="K97" s="121"/>
      <c r="L97" s="121"/>
    </row>
    <row r="98" spans="7:12" x14ac:dyDescent="0.25">
      <c r="G98" s="122"/>
      <c r="H98" s="118"/>
      <c r="I98" s="118"/>
      <c r="J98" s="118"/>
      <c r="K98" s="118"/>
      <c r="L98" s="118"/>
    </row>
    <row r="99" spans="7:12" x14ac:dyDescent="0.25">
      <c r="G99" s="122"/>
      <c r="H99" s="118"/>
      <c r="I99" s="118"/>
      <c r="J99" s="118"/>
      <c r="K99" s="118"/>
      <c r="L99" s="118"/>
    </row>
  </sheetData>
  <mergeCells count="6">
    <mergeCell ref="E91:E96"/>
    <mergeCell ref="E37:E44"/>
    <mergeCell ref="E4:E8"/>
    <mergeCell ref="E46:E62"/>
    <mergeCell ref="E25:E33"/>
    <mergeCell ref="E64:E88"/>
  </mergeCells>
  <phoneticPr fontId="19" type="noConversion"/>
  <conditionalFormatting sqref="H76:L77">
    <cfRule type="cellIs" dxfId="26" priority="1" operator="equal">
      <formula>"no"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oglio20">
    <tabColor rgb="FF00B0F0"/>
    <pageSetUpPr fitToPage="1"/>
  </sheetPr>
  <dimension ref="A1:T117"/>
  <sheetViews>
    <sheetView showGridLines="0" zoomScale="85" zoomScaleNormal="85" workbookViewId="0">
      <pane xSplit="5" topLeftCell="H1" activePane="topRight" state="frozen"/>
      <selection activeCell="A2" sqref="A2"/>
      <selection pane="topRight" activeCell="I42" sqref="I42"/>
    </sheetView>
  </sheetViews>
  <sheetFormatPr defaultColWidth="8.85546875" defaultRowHeight="9" outlineLevelRow="1" outlineLevelCol="1" x14ac:dyDescent="0.15"/>
  <cols>
    <col min="1" max="1" width="8.85546875" style="1"/>
    <col min="2" max="3" width="33.7109375" style="1" customWidth="1" outlineLevel="1"/>
    <col min="4" max="4" width="33.7109375" style="1" bestFit="1" customWidth="1"/>
    <col min="5" max="6" width="17.140625" style="2" bestFit="1" customWidth="1"/>
    <col min="7" max="17" width="12.7109375" style="1" customWidth="1"/>
    <col min="18" max="18" width="14.42578125" style="1" bestFit="1" customWidth="1"/>
    <col min="19" max="19" width="10.28515625" style="1" bestFit="1" customWidth="1"/>
    <col min="20" max="16384" width="8.85546875" style="1"/>
  </cols>
  <sheetData>
    <row r="1" spans="1:17" ht="15" x14ac:dyDescent="0.25">
      <c r="A1" s="190">
        <v>1</v>
      </c>
      <c r="C1" s="233" t="s">
        <v>348</v>
      </c>
    </row>
    <row r="3" spans="1:17" x14ac:dyDescent="0.15">
      <c r="B3" s="233" t="s">
        <v>98</v>
      </c>
      <c r="C3" s="233" t="s">
        <v>313</v>
      </c>
      <c r="D3" s="1" t="str">
        <f t="shared" ref="D3:D8" si="0">IF($A$1=1,B3,C3)</f>
        <v>Aquisizione Area</v>
      </c>
      <c r="E3" s="233">
        <v>12000000</v>
      </c>
    </row>
    <row r="4" spans="1:17" x14ac:dyDescent="0.15">
      <c r="B4" s="233" t="s">
        <v>99</v>
      </c>
      <c r="C4" s="233" t="s">
        <v>311</v>
      </c>
      <c r="D4" s="1" t="str">
        <f t="shared" si="0"/>
        <v>Costi costruzione</v>
      </c>
      <c r="E4" s="233">
        <v>30000000</v>
      </c>
    </row>
    <row r="5" spans="1:17" x14ac:dyDescent="0.15">
      <c r="B5" s="233" t="s">
        <v>152</v>
      </c>
      <c r="C5" s="233" t="s">
        <v>312</v>
      </c>
      <c r="D5" s="1" t="str">
        <f t="shared" si="0"/>
        <v>Valore di Mercato</v>
      </c>
      <c r="E5" s="233">
        <v>55000000</v>
      </c>
    </row>
    <row r="6" spans="1:17" x14ac:dyDescent="0.15">
      <c r="B6" s="1" t="str">
        <f>'ts3 sviluppo'!B116</f>
        <v>LTV</v>
      </c>
      <c r="C6" s="1" t="str">
        <f>'ts3 sviluppo'!C116</f>
        <v>LTV</v>
      </c>
      <c r="D6" s="1" t="str">
        <f t="shared" si="0"/>
        <v>LTV</v>
      </c>
      <c r="E6" s="234">
        <v>0.2</v>
      </c>
      <c r="F6" s="1"/>
    </row>
    <row r="7" spans="1:17" x14ac:dyDescent="0.15">
      <c r="B7" s="233" t="s">
        <v>107</v>
      </c>
      <c r="C7" s="233" t="s">
        <v>314</v>
      </c>
      <c r="D7" s="1" t="str">
        <f t="shared" si="0"/>
        <v>Iva Acquisto</v>
      </c>
      <c r="E7" s="234">
        <v>0.1</v>
      </c>
      <c r="F7" s="1"/>
    </row>
    <row r="8" spans="1:17" x14ac:dyDescent="0.15">
      <c r="B8" s="233" t="s">
        <v>108</v>
      </c>
      <c r="C8" s="233" t="s">
        <v>315</v>
      </c>
      <c r="D8" s="1" t="str">
        <f t="shared" si="0"/>
        <v>Iva Vendita</v>
      </c>
      <c r="E8" s="234">
        <v>0.04</v>
      </c>
      <c r="F8" s="1"/>
    </row>
    <row r="9" spans="1:17" x14ac:dyDescent="0.15">
      <c r="B9" s="19"/>
      <c r="C9" s="19"/>
      <c r="D9" s="19"/>
      <c r="E9" s="18"/>
      <c r="F9" s="17"/>
      <c r="G9" s="17"/>
      <c r="H9" s="17"/>
      <c r="I9" s="17"/>
      <c r="J9" s="17"/>
      <c r="K9" s="17"/>
      <c r="L9" s="17"/>
      <c r="M9" s="17"/>
    </row>
    <row r="10" spans="1:17" x14ac:dyDescent="0.15">
      <c r="F10" s="1"/>
      <c r="G10" s="10"/>
    </row>
    <row r="11" spans="1:17" x14ac:dyDescent="0.15">
      <c r="B11" s="235" t="s">
        <v>141</v>
      </c>
      <c r="C11" s="235" t="s">
        <v>141</v>
      </c>
      <c r="D11" s="5" t="str">
        <f t="shared" ref="D11:D15" si="1">IF($A$1=1,B11,C11)</f>
        <v>Timing</v>
      </c>
      <c r="E11" s="235">
        <v>0</v>
      </c>
      <c r="F11" s="235">
        <v>1</v>
      </c>
      <c r="G11" s="235">
        <v>2</v>
      </c>
      <c r="H11" s="235">
        <v>3</v>
      </c>
      <c r="I11" s="235">
        <v>4</v>
      </c>
      <c r="J11" s="235">
        <v>5</v>
      </c>
      <c r="K11" s="235">
        <v>6</v>
      </c>
      <c r="L11" s="235">
        <v>7</v>
      </c>
      <c r="M11" s="235">
        <v>8</v>
      </c>
      <c r="N11" s="235">
        <v>9</v>
      </c>
      <c r="O11" s="235">
        <v>10</v>
      </c>
      <c r="P11" s="235">
        <v>11</v>
      </c>
      <c r="Q11" s="235">
        <v>12</v>
      </c>
    </row>
    <row r="12" spans="1:17" x14ac:dyDescent="0.15">
      <c r="B12" s="233" t="s">
        <v>167</v>
      </c>
      <c r="C12" s="233" t="s">
        <v>316</v>
      </c>
      <c r="D12" s="1" t="str">
        <f t="shared" si="1"/>
        <v>Acquisizione Area %</v>
      </c>
      <c r="E12" s="234">
        <v>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7">
        <f>1-SUM(E12:P12)</f>
        <v>0</v>
      </c>
    </row>
    <row r="13" spans="1:17" x14ac:dyDescent="0.15">
      <c r="B13" s="233" t="s">
        <v>102</v>
      </c>
      <c r="C13" s="233" t="s">
        <v>317</v>
      </c>
      <c r="D13" s="1" t="str">
        <f t="shared" si="1"/>
        <v>Costruzione %</v>
      </c>
      <c r="E13" s="9"/>
      <c r="F13" s="9"/>
      <c r="G13" s="234">
        <v>0.1</v>
      </c>
      <c r="H13" s="234">
        <v>0.2</v>
      </c>
      <c r="I13" s="234">
        <v>0.2</v>
      </c>
      <c r="J13" s="234">
        <v>0.2</v>
      </c>
      <c r="K13" s="234">
        <v>0.2</v>
      </c>
      <c r="L13" s="234">
        <v>0.1</v>
      </c>
      <c r="M13" s="9"/>
      <c r="N13" s="9"/>
      <c r="O13" s="9"/>
      <c r="P13" s="9"/>
      <c r="Q13" s="7">
        <f>1-SUM(E13:P13)</f>
        <v>0</v>
      </c>
    </row>
    <row r="14" spans="1:17" x14ac:dyDescent="0.15">
      <c r="B14" s="233" t="s">
        <v>68</v>
      </c>
      <c r="C14" s="233" t="s">
        <v>318</v>
      </c>
      <c r="D14" s="1" t="str">
        <f t="shared" si="1"/>
        <v>Preliminare %</v>
      </c>
      <c r="E14" s="9"/>
      <c r="F14" s="9"/>
      <c r="G14" s="9"/>
      <c r="H14" s="9"/>
      <c r="I14" s="234">
        <v>0.1</v>
      </c>
      <c r="J14" s="234">
        <v>0.2</v>
      </c>
      <c r="K14" s="234">
        <v>0.2</v>
      </c>
      <c r="L14" s="234">
        <v>0.25</v>
      </c>
      <c r="M14" s="234">
        <v>0.25</v>
      </c>
      <c r="N14" s="9"/>
      <c r="O14" s="9"/>
      <c r="P14" s="9"/>
      <c r="Q14" s="7">
        <f>1-SUM(E14:P14)</f>
        <v>0</v>
      </c>
    </row>
    <row r="15" spans="1:17" x14ac:dyDescent="0.15">
      <c r="B15" s="233" t="s">
        <v>101</v>
      </c>
      <c r="C15" s="233" t="s">
        <v>319</v>
      </c>
      <c r="D15" s="1" t="str">
        <f t="shared" si="1"/>
        <v>Rogito %</v>
      </c>
      <c r="E15" s="9"/>
      <c r="F15" s="9"/>
      <c r="G15" s="9"/>
      <c r="H15" s="9"/>
      <c r="I15" s="9"/>
      <c r="J15" s="9"/>
      <c r="K15" s="9"/>
      <c r="L15" s="9"/>
      <c r="M15" s="9"/>
      <c r="N15" s="234">
        <v>0.5</v>
      </c>
      <c r="O15" s="234">
        <v>0.5</v>
      </c>
      <c r="P15" s="9"/>
      <c r="Q15" s="7">
        <f>1-SUM(E15:P15)</f>
        <v>0</v>
      </c>
    </row>
    <row r="16" spans="1:17" x14ac:dyDescent="0.15"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7"/>
    </row>
    <row r="17" spans="2:20" x14ac:dyDescent="0.15">
      <c r="B17" s="235" t="s">
        <v>95</v>
      </c>
      <c r="C17" s="235" t="s">
        <v>164</v>
      </c>
      <c r="D17" s="5" t="str">
        <f t="shared" ref="D17:D22" si="2">IF($A$1=1,B17,C17)</f>
        <v>FLUSSI</v>
      </c>
      <c r="E17" s="235">
        <v>0</v>
      </c>
      <c r="F17" s="235">
        <v>1</v>
      </c>
      <c r="G17" s="235">
        <v>2</v>
      </c>
      <c r="H17" s="235">
        <v>3</v>
      </c>
      <c r="I17" s="235">
        <v>4</v>
      </c>
      <c r="J17" s="235">
        <v>5</v>
      </c>
      <c r="K17" s="235">
        <v>6</v>
      </c>
      <c r="L17" s="235">
        <v>7</v>
      </c>
      <c r="M17" s="235">
        <v>8</v>
      </c>
      <c r="N17" s="235">
        <v>9</v>
      </c>
      <c r="O17" s="235">
        <v>10</v>
      </c>
      <c r="P17" s="235">
        <v>11</v>
      </c>
      <c r="Q17" s="235">
        <v>12</v>
      </c>
      <c r="R17" s="235" t="s">
        <v>368</v>
      </c>
    </row>
    <row r="18" spans="2:20" x14ac:dyDescent="0.15">
      <c r="B18" s="233" t="s">
        <v>168</v>
      </c>
      <c r="C18" s="233" t="s">
        <v>320</v>
      </c>
      <c r="D18" s="1" t="str">
        <f t="shared" si="2"/>
        <v>Acquisizione Area</v>
      </c>
      <c r="E18" s="1">
        <f>-$E$3*E12</f>
        <v>-12000000</v>
      </c>
      <c r="F18" s="1">
        <f t="shared" ref="F18:Q18" si="3">$E$3*F12</f>
        <v>0</v>
      </c>
      <c r="G18" s="1">
        <f t="shared" si="3"/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 t="shared" si="3"/>
        <v>0</v>
      </c>
      <c r="L18" s="1">
        <f t="shared" si="3"/>
        <v>0</v>
      </c>
      <c r="M18" s="1">
        <f t="shared" si="3"/>
        <v>0</v>
      </c>
      <c r="N18" s="1">
        <f t="shared" si="3"/>
        <v>0</v>
      </c>
      <c r="O18" s="1">
        <f t="shared" si="3"/>
        <v>0</v>
      </c>
      <c r="P18" s="1">
        <f t="shared" si="3"/>
        <v>0</v>
      </c>
      <c r="Q18" s="1">
        <f t="shared" si="3"/>
        <v>0</v>
      </c>
      <c r="R18" s="5">
        <f>SUM(E18:Q18)</f>
        <v>-12000000</v>
      </c>
    </row>
    <row r="19" spans="2:20" x14ac:dyDescent="0.15">
      <c r="B19" s="233" t="s">
        <v>103</v>
      </c>
      <c r="C19" s="233" t="s">
        <v>321</v>
      </c>
      <c r="D19" s="1" t="str">
        <f t="shared" si="2"/>
        <v>Costruzione</v>
      </c>
      <c r="E19" s="1">
        <f t="shared" ref="E19:Q19" si="4">-$E$4*E13</f>
        <v>0</v>
      </c>
      <c r="F19" s="1">
        <f t="shared" si="4"/>
        <v>0</v>
      </c>
      <c r="G19" s="1">
        <f t="shared" si="4"/>
        <v>-3000000</v>
      </c>
      <c r="H19" s="1">
        <f t="shared" si="4"/>
        <v>-6000000</v>
      </c>
      <c r="I19" s="1">
        <f t="shared" si="4"/>
        <v>-6000000</v>
      </c>
      <c r="J19" s="1">
        <f t="shared" si="4"/>
        <v>-6000000</v>
      </c>
      <c r="K19" s="1">
        <f t="shared" si="4"/>
        <v>-6000000</v>
      </c>
      <c r="L19" s="1">
        <f t="shared" si="4"/>
        <v>-3000000</v>
      </c>
      <c r="M19" s="1">
        <f t="shared" si="4"/>
        <v>0</v>
      </c>
      <c r="N19" s="1">
        <f t="shared" si="4"/>
        <v>0</v>
      </c>
      <c r="O19" s="1">
        <f t="shared" si="4"/>
        <v>0</v>
      </c>
      <c r="P19" s="1">
        <f t="shared" si="4"/>
        <v>0</v>
      </c>
      <c r="Q19" s="1">
        <f t="shared" si="4"/>
        <v>0</v>
      </c>
      <c r="R19" s="5">
        <f>SUM(E19:Q19)</f>
        <v>-30000000</v>
      </c>
    </row>
    <row r="20" spans="2:20" x14ac:dyDescent="0.15">
      <c r="B20" s="233" t="s">
        <v>67</v>
      </c>
      <c r="C20" s="233" t="s">
        <v>322</v>
      </c>
      <c r="D20" s="1" t="str">
        <f t="shared" si="2"/>
        <v>Preliminare</v>
      </c>
      <c r="E20" s="1">
        <f t="shared" ref="E20:Q20" si="5">$E$5*$E$6*E14</f>
        <v>0</v>
      </c>
      <c r="F20" s="1">
        <f t="shared" si="5"/>
        <v>0</v>
      </c>
      <c r="G20" s="1">
        <f t="shared" si="5"/>
        <v>0</v>
      </c>
      <c r="H20" s="1">
        <f t="shared" si="5"/>
        <v>0</v>
      </c>
      <c r="I20" s="1">
        <f t="shared" si="5"/>
        <v>1100000</v>
      </c>
      <c r="J20" s="1">
        <f t="shared" si="5"/>
        <v>2200000</v>
      </c>
      <c r="K20" s="1">
        <f t="shared" si="5"/>
        <v>2200000</v>
      </c>
      <c r="L20" s="1">
        <f t="shared" si="5"/>
        <v>2750000</v>
      </c>
      <c r="M20" s="1">
        <f t="shared" si="5"/>
        <v>2750000</v>
      </c>
      <c r="N20" s="1">
        <f t="shared" si="5"/>
        <v>0</v>
      </c>
      <c r="O20" s="1">
        <f t="shared" si="5"/>
        <v>0</v>
      </c>
      <c r="P20" s="1">
        <f t="shared" si="5"/>
        <v>0</v>
      </c>
      <c r="Q20" s="1">
        <f t="shared" si="5"/>
        <v>0</v>
      </c>
      <c r="R20" s="5">
        <f>SUM(E20:Q20)</f>
        <v>11000000</v>
      </c>
    </row>
    <row r="21" spans="2:20" x14ac:dyDescent="0.15">
      <c r="B21" s="233" t="s">
        <v>100</v>
      </c>
      <c r="C21" s="233" t="s">
        <v>323</v>
      </c>
      <c r="D21" s="1" t="str">
        <f t="shared" si="2"/>
        <v>Rogito</v>
      </c>
      <c r="E21" s="1">
        <f t="shared" ref="E21:Q21" si="6">$E$5*(1-$E$6)*E15</f>
        <v>0</v>
      </c>
      <c r="F21" s="1">
        <f t="shared" si="6"/>
        <v>0</v>
      </c>
      <c r="G21" s="1">
        <f t="shared" si="6"/>
        <v>0</v>
      </c>
      <c r="H21" s="1">
        <f t="shared" si="6"/>
        <v>0</v>
      </c>
      <c r="I21" s="1">
        <f t="shared" si="6"/>
        <v>0</v>
      </c>
      <c r="J21" s="1">
        <f t="shared" si="6"/>
        <v>0</v>
      </c>
      <c r="K21" s="1">
        <f t="shared" si="6"/>
        <v>0</v>
      </c>
      <c r="L21" s="1">
        <f t="shared" si="6"/>
        <v>0</v>
      </c>
      <c r="M21" s="1">
        <f t="shared" si="6"/>
        <v>0</v>
      </c>
      <c r="N21" s="1">
        <f t="shared" si="6"/>
        <v>22000000</v>
      </c>
      <c r="O21" s="1">
        <f t="shared" si="6"/>
        <v>22000000</v>
      </c>
      <c r="P21" s="1">
        <f t="shared" si="6"/>
        <v>0</v>
      </c>
      <c r="Q21" s="1">
        <f t="shared" si="6"/>
        <v>0</v>
      </c>
      <c r="R21" s="5">
        <f>SUM(E21:Q21)</f>
        <v>44000000</v>
      </c>
    </row>
    <row r="22" spans="2:20" x14ac:dyDescent="0.15">
      <c r="B22" s="235" t="s">
        <v>29</v>
      </c>
      <c r="C22" s="235" t="s">
        <v>324</v>
      </c>
      <c r="D22" s="5" t="str">
        <f t="shared" si="2"/>
        <v>Flusso Immobiliare</v>
      </c>
      <c r="E22" s="5">
        <f t="shared" ref="E22:Q22" si="7">SUM(E18:E21)</f>
        <v>-12000000</v>
      </c>
      <c r="F22" s="5">
        <f t="shared" si="7"/>
        <v>0</v>
      </c>
      <c r="G22" s="5">
        <f t="shared" si="7"/>
        <v>-3000000</v>
      </c>
      <c r="H22" s="5">
        <f t="shared" si="7"/>
        <v>-6000000</v>
      </c>
      <c r="I22" s="5">
        <f t="shared" si="7"/>
        <v>-4900000</v>
      </c>
      <c r="J22" s="5">
        <f t="shared" si="7"/>
        <v>-3800000</v>
      </c>
      <c r="K22" s="5">
        <f t="shared" si="7"/>
        <v>-3800000</v>
      </c>
      <c r="L22" s="5">
        <f t="shared" si="7"/>
        <v>-250000</v>
      </c>
      <c r="M22" s="5">
        <f t="shared" si="7"/>
        <v>2750000</v>
      </c>
      <c r="N22" s="5">
        <f t="shared" si="7"/>
        <v>22000000</v>
      </c>
      <c r="O22" s="5">
        <f t="shared" si="7"/>
        <v>22000000</v>
      </c>
      <c r="P22" s="5">
        <f t="shared" si="7"/>
        <v>0</v>
      </c>
      <c r="Q22" s="5">
        <f t="shared" si="7"/>
        <v>0</v>
      </c>
      <c r="R22" s="5">
        <f>SUM(E22:Q22)</f>
        <v>13000000</v>
      </c>
      <c r="S22" s="8">
        <f>IRR(E22:Q22)</f>
        <v>4.8110215519150401E-2</v>
      </c>
      <c r="T22" s="8">
        <f>(1+S22)^4-1</f>
        <v>0.20677919868136496</v>
      </c>
    </row>
    <row r="23" spans="2:20" x14ac:dyDescent="0.15"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7"/>
    </row>
    <row r="24" spans="2:20" outlineLevel="1" x14ac:dyDescent="0.15">
      <c r="B24" s="235" t="s">
        <v>32</v>
      </c>
      <c r="C24" s="235" t="s">
        <v>207</v>
      </c>
      <c r="D24" s="5" t="str">
        <f t="shared" ref="D24:D27" si="8">IF($A$1=1,B24,C24)</f>
        <v>Posizione IVA</v>
      </c>
      <c r="E24" s="235">
        <v>0</v>
      </c>
      <c r="F24" s="235">
        <v>1</v>
      </c>
      <c r="G24" s="235">
        <v>2</v>
      </c>
      <c r="H24" s="235">
        <v>3</v>
      </c>
      <c r="I24" s="235">
        <v>4</v>
      </c>
      <c r="J24" s="235">
        <v>5</v>
      </c>
      <c r="K24" s="235">
        <v>6</v>
      </c>
      <c r="L24" s="235">
        <v>7</v>
      </c>
      <c r="M24" s="235">
        <v>8</v>
      </c>
      <c r="N24" s="235">
        <v>9</v>
      </c>
      <c r="O24" s="235">
        <v>10</v>
      </c>
      <c r="P24" s="235">
        <v>11</v>
      </c>
      <c r="Q24" s="235">
        <v>12</v>
      </c>
      <c r="R24" s="235" t="s">
        <v>368</v>
      </c>
    </row>
    <row r="25" spans="2:20" outlineLevel="1" x14ac:dyDescent="0.15">
      <c r="B25" s="233" t="s">
        <v>109</v>
      </c>
      <c r="C25" s="233" t="s">
        <v>325</v>
      </c>
      <c r="D25" s="1" t="str">
        <f t="shared" si="8"/>
        <v>Iva Credito</v>
      </c>
      <c r="E25" s="1">
        <f t="shared" ref="E25:Q25" si="9">E19*$E$7</f>
        <v>0</v>
      </c>
      <c r="F25" s="1">
        <f t="shared" si="9"/>
        <v>0</v>
      </c>
      <c r="G25" s="1">
        <f t="shared" si="9"/>
        <v>-300000</v>
      </c>
      <c r="H25" s="1">
        <f t="shared" si="9"/>
        <v>-600000</v>
      </c>
      <c r="I25" s="1">
        <f t="shared" si="9"/>
        <v>-600000</v>
      </c>
      <c r="J25" s="1">
        <f t="shared" si="9"/>
        <v>-600000</v>
      </c>
      <c r="K25" s="1">
        <f t="shared" si="9"/>
        <v>-600000</v>
      </c>
      <c r="L25" s="1">
        <f t="shared" si="9"/>
        <v>-300000</v>
      </c>
      <c r="M25" s="1">
        <f t="shared" si="9"/>
        <v>0</v>
      </c>
      <c r="N25" s="1">
        <f t="shared" si="9"/>
        <v>0</v>
      </c>
      <c r="O25" s="1">
        <f t="shared" si="9"/>
        <v>0</v>
      </c>
      <c r="P25" s="1">
        <f t="shared" si="9"/>
        <v>0</v>
      </c>
      <c r="Q25" s="1">
        <f t="shared" si="9"/>
        <v>0</v>
      </c>
    </row>
    <row r="26" spans="2:20" outlineLevel="1" x14ac:dyDescent="0.15">
      <c r="B26" s="233" t="s">
        <v>110</v>
      </c>
      <c r="C26" s="233" t="s">
        <v>326</v>
      </c>
      <c r="D26" s="1" t="str">
        <f t="shared" si="8"/>
        <v>Iva Debito</v>
      </c>
      <c r="E26" s="1">
        <f t="shared" ref="E26:Q26" si="10">SUM(E20:E21)*$E$8</f>
        <v>0</v>
      </c>
      <c r="F26" s="1">
        <f t="shared" si="10"/>
        <v>0</v>
      </c>
      <c r="G26" s="1">
        <f t="shared" si="10"/>
        <v>0</v>
      </c>
      <c r="H26" s="1">
        <f t="shared" si="10"/>
        <v>0</v>
      </c>
      <c r="I26" s="1">
        <f t="shared" si="10"/>
        <v>44000</v>
      </c>
      <c r="J26" s="1">
        <f t="shared" si="10"/>
        <v>88000</v>
      </c>
      <c r="K26" s="1">
        <f t="shared" si="10"/>
        <v>88000</v>
      </c>
      <c r="L26" s="1">
        <f t="shared" si="10"/>
        <v>110000</v>
      </c>
      <c r="M26" s="1">
        <f t="shared" si="10"/>
        <v>110000</v>
      </c>
      <c r="N26" s="1">
        <f t="shared" si="10"/>
        <v>880000</v>
      </c>
      <c r="O26" s="1">
        <f t="shared" si="10"/>
        <v>880000</v>
      </c>
      <c r="P26" s="1">
        <f t="shared" si="10"/>
        <v>0</v>
      </c>
      <c r="Q26" s="1">
        <f t="shared" si="10"/>
        <v>0</v>
      </c>
    </row>
    <row r="27" spans="2:20" outlineLevel="1" x14ac:dyDescent="0.15">
      <c r="B27" s="233" t="s">
        <v>37</v>
      </c>
      <c r="C27" s="233" t="s">
        <v>327</v>
      </c>
      <c r="D27" s="1" t="str">
        <f t="shared" si="8"/>
        <v>IVA Periodo</v>
      </c>
      <c r="E27" s="1">
        <f>SUM(E25:E26)</f>
        <v>0</v>
      </c>
      <c r="F27" s="1">
        <f t="shared" ref="F27:Q27" si="11">SUM(F25:F26)</f>
        <v>0</v>
      </c>
      <c r="G27" s="1">
        <f>SUM(G25:G26)</f>
        <v>-300000</v>
      </c>
      <c r="H27" s="1">
        <f>SUM(H25:H26)</f>
        <v>-600000</v>
      </c>
      <c r="I27" s="1">
        <f t="shared" si="11"/>
        <v>-556000</v>
      </c>
      <c r="J27" s="1">
        <f t="shared" si="11"/>
        <v>-512000</v>
      </c>
      <c r="K27" s="1">
        <f t="shared" si="11"/>
        <v>-512000</v>
      </c>
      <c r="L27" s="1">
        <f>SUM(L25:L26)</f>
        <v>-190000</v>
      </c>
      <c r="M27" s="1">
        <f t="shared" si="11"/>
        <v>110000</v>
      </c>
      <c r="N27" s="1">
        <f t="shared" si="11"/>
        <v>880000</v>
      </c>
      <c r="O27" s="1">
        <f t="shared" si="11"/>
        <v>880000</v>
      </c>
      <c r="P27" s="1">
        <f t="shared" si="11"/>
        <v>0</v>
      </c>
      <c r="Q27" s="1">
        <f t="shared" si="11"/>
        <v>0</v>
      </c>
      <c r="R27" s="6">
        <f>SUM(E27:Q27)</f>
        <v>-800000</v>
      </c>
    </row>
    <row r="28" spans="2:20" outlineLevel="1" x14ac:dyDescent="0.15">
      <c r="E28" s="1"/>
      <c r="F28" s="1"/>
      <c r="K28" s="13"/>
    </row>
    <row r="29" spans="2:20" outlineLevel="1" x14ac:dyDescent="0.15">
      <c r="B29" s="236" t="s">
        <v>165</v>
      </c>
      <c r="C29" s="236" t="s">
        <v>293</v>
      </c>
      <c r="D29" s="6" t="str">
        <f t="shared" ref="D29:D36" si="12">IF($A$1=1,B29,C29)</f>
        <v>Credito IVA Iniziale</v>
      </c>
      <c r="E29" s="14"/>
      <c r="F29" s="6">
        <f t="shared" ref="F29:Q29" si="13">E36</f>
        <v>0</v>
      </c>
      <c r="G29" s="6">
        <f t="shared" si="13"/>
        <v>0</v>
      </c>
      <c r="H29" s="6">
        <f t="shared" si="13"/>
        <v>300000</v>
      </c>
      <c r="I29" s="6">
        <f t="shared" si="13"/>
        <v>900000</v>
      </c>
      <c r="J29" s="6">
        <f t="shared" si="13"/>
        <v>1456000</v>
      </c>
      <c r="K29" s="6">
        <f t="shared" si="13"/>
        <v>1968000</v>
      </c>
      <c r="L29" s="6">
        <f t="shared" si="13"/>
        <v>2480000</v>
      </c>
      <c r="M29" s="6">
        <f t="shared" si="13"/>
        <v>2670000</v>
      </c>
      <c r="N29" s="6">
        <f t="shared" si="13"/>
        <v>2560000</v>
      </c>
      <c r="O29" s="6">
        <f t="shared" si="13"/>
        <v>1680000</v>
      </c>
      <c r="P29" s="6">
        <f t="shared" si="13"/>
        <v>0</v>
      </c>
      <c r="Q29" s="6">
        <f t="shared" si="13"/>
        <v>0</v>
      </c>
      <c r="R29" s="6"/>
    </row>
    <row r="30" spans="2:20" outlineLevel="1" x14ac:dyDescent="0.15">
      <c r="B30" s="233" t="s">
        <v>39</v>
      </c>
      <c r="C30" s="233" t="s">
        <v>226</v>
      </c>
      <c r="D30" s="1" t="str">
        <f t="shared" si="12"/>
        <v>IVA Versata</v>
      </c>
      <c r="E30" s="1">
        <f>-IF(E27&gt;0,-MIN(E29-E27,0),0)</f>
        <v>0</v>
      </c>
      <c r="F30" s="1">
        <f t="shared" ref="F30:M30" si="14">-IF(F27&gt;0,-MIN(F29-F27,0),0)</f>
        <v>0</v>
      </c>
      <c r="G30" s="1">
        <f t="shared" si="14"/>
        <v>0</v>
      </c>
      <c r="H30" s="1">
        <f t="shared" si="14"/>
        <v>0</v>
      </c>
      <c r="I30" s="1">
        <f t="shared" si="14"/>
        <v>0</v>
      </c>
      <c r="J30" s="1">
        <f t="shared" si="14"/>
        <v>0</v>
      </c>
      <c r="K30" s="1">
        <f t="shared" si="14"/>
        <v>0</v>
      </c>
      <c r="L30" s="1">
        <f t="shared" si="14"/>
        <v>0</v>
      </c>
      <c r="M30" s="1">
        <f t="shared" si="14"/>
        <v>0</v>
      </c>
      <c r="N30" s="1">
        <f>-IF(N27&gt;0,-MIN(N29-N27,0),0)</f>
        <v>0</v>
      </c>
      <c r="O30" s="1">
        <f>-IF(O27&gt;0,-MIN(O29-O27,0),0)</f>
        <v>0</v>
      </c>
      <c r="P30" s="1">
        <f>-IF(P27&gt;0,-MIN(P29-P27,0),0)</f>
        <v>0</v>
      </c>
      <c r="Q30" s="1">
        <f>-IF(Q27&gt;0,-MIN(Q29-Q27,0),0)</f>
        <v>0</v>
      </c>
      <c r="R30" s="6">
        <f>SUM(E30:Q30)</f>
        <v>0</v>
      </c>
    </row>
    <row r="31" spans="2:20" outlineLevel="1" x14ac:dyDescent="0.15">
      <c r="B31" s="233" t="s">
        <v>33</v>
      </c>
      <c r="C31" s="233" t="s">
        <v>328</v>
      </c>
      <c r="D31" s="1" t="str">
        <f t="shared" si="12"/>
        <v>Incremento Credito</v>
      </c>
      <c r="E31" s="1">
        <f>IF(E27&lt;0,-E27,0)</f>
        <v>0</v>
      </c>
      <c r="F31" s="1">
        <f t="shared" ref="F31:M31" si="15">IF(F27&lt;0,-F27,0)</f>
        <v>0</v>
      </c>
      <c r="G31" s="1">
        <f t="shared" si="15"/>
        <v>300000</v>
      </c>
      <c r="H31" s="1">
        <f t="shared" si="15"/>
        <v>600000</v>
      </c>
      <c r="I31" s="1">
        <f t="shared" si="15"/>
        <v>556000</v>
      </c>
      <c r="J31" s="1">
        <f t="shared" si="15"/>
        <v>512000</v>
      </c>
      <c r="K31" s="1">
        <f t="shared" si="15"/>
        <v>512000</v>
      </c>
      <c r="L31" s="1">
        <f t="shared" si="15"/>
        <v>190000</v>
      </c>
      <c r="M31" s="1">
        <f t="shared" si="15"/>
        <v>0</v>
      </c>
      <c r="N31" s="1">
        <f>IF(N27&lt;0,-N27,0)</f>
        <v>0</v>
      </c>
      <c r="O31" s="1">
        <f>IF(O27&lt;0,-O27,0)</f>
        <v>0</v>
      </c>
      <c r="P31" s="1">
        <f>IF(P27&lt;0,-P27,0)</f>
        <v>0</v>
      </c>
      <c r="Q31" s="1">
        <f>IF(Q27&lt;0,-Q27,0)</f>
        <v>0</v>
      </c>
      <c r="R31" s="6">
        <f>SUM(E31:Q31)</f>
        <v>2670000</v>
      </c>
    </row>
    <row r="32" spans="2:20" outlineLevel="1" x14ac:dyDescent="0.15">
      <c r="B32" s="233" t="s">
        <v>151</v>
      </c>
      <c r="C32" s="233" t="s">
        <v>329</v>
      </c>
      <c r="D32" s="1" t="str">
        <f t="shared" si="12"/>
        <v>Credito IVA intermedio 1</v>
      </c>
      <c r="E32" s="1">
        <f t="shared" ref="E32:M32" si="16">E29+E31</f>
        <v>0</v>
      </c>
      <c r="F32" s="1">
        <f t="shared" si="16"/>
        <v>0</v>
      </c>
      <c r="G32" s="1">
        <f t="shared" si="16"/>
        <v>300000</v>
      </c>
      <c r="H32" s="1">
        <f t="shared" si="16"/>
        <v>900000</v>
      </c>
      <c r="I32" s="1">
        <f t="shared" si="16"/>
        <v>1456000</v>
      </c>
      <c r="J32" s="1">
        <f t="shared" si="16"/>
        <v>1968000</v>
      </c>
      <c r="K32" s="1">
        <f t="shared" si="16"/>
        <v>2480000</v>
      </c>
      <c r="L32" s="1">
        <f t="shared" si="16"/>
        <v>2670000</v>
      </c>
      <c r="M32" s="1">
        <f t="shared" si="16"/>
        <v>2670000</v>
      </c>
      <c r="N32" s="1">
        <f>N29+N31</f>
        <v>2560000</v>
      </c>
      <c r="O32" s="1">
        <f>O29+O31</f>
        <v>1680000</v>
      </c>
      <c r="P32" s="1">
        <f>P29+P31</f>
        <v>0</v>
      </c>
      <c r="Q32" s="1">
        <f>Q29+Q31</f>
        <v>0</v>
      </c>
      <c r="R32" s="6"/>
    </row>
    <row r="33" spans="2:18" outlineLevel="1" x14ac:dyDescent="0.15">
      <c r="B33" s="233" t="s">
        <v>34</v>
      </c>
      <c r="C33" s="233" t="s">
        <v>229</v>
      </c>
      <c r="D33" s="1" t="str">
        <f t="shared" si="12"/>
        <v>Riduzione Credito</v>
      </c>
      <c r="E33" s="1">
        <f t="shared" ref="E33:M33" si="17">-IF(E27&gt;0,MIN(E27,E32),0)</f>
        <v>0</v>
      </c>
      <c r="F33" s="1">
        <f t="shared" si="17"/>
        <v>0</v>
      </c>
      <c r="G33" s="1">
        <f t="shared" si="17"/>
        <v>0</v>
      </c>
      <c r="H33" s="1">
        <f t="shared" si="17"/>
        <v>0</v>
      </c>
      <c r="I33" s="1">
        <f t="shared" si="17"/>
        <v>0</v>
      </c>
      <c r="J33" s="1">
        <f t="shared" si="17"/>
        <v>0</v>
      </c>
      <c r="K33" s="1">
        <f t="shared" si="17"/>
        <v>0</v>
      </c>
      <c r="L33" s="1">
        <f t="shared" si="17"/>
        <v>0</v>
      </c>
      <c r="M33" s="1">
        <f t="shared" si="17"/>
        <v>-110000</v>
      </c>
      <c r="N33" s="1">
        <f>-IF(N27&gt;0,MIN(N27,N32),0)</f>
        <v>-880000</v>
      </c>
      <c r="O33" s="1">
        <f>-IF(O27&gt;0,MIN(O27,O32),0)</f>
        <v>-880000</v>
      </c>
      <c r="P33" s="1">
        <f>-IF(P27&gt;0,MIN(P27,P32),0)</f>
        <v>0</v>
      </c>
      <c r="Q33" s="1">
        <f>-IF(Q27&gt;0,MIN(Q27,Q32),0)</f>
        <v>0</v>
      </c>
      <c r="R33" s="6">
        <f>SUM(E33:Q33)</f>
        <v>-1870000</v>
      </c>
    </row>
    <row r="34" spans="2:18" outlineLevel="1" x14ac:dyDescent="0.15">
      <c r="B34" s="236" t="s">
        <v>150</v>
      </c>
      <c r="C34" s="233" t="s">
        <v>330</v>
      </c>
      <c r="D34" s="6" t="str">
        <f t="shared" si="12"/>
        <v>Credito IVA intermedio 2</v>
      </c>
      <c r="E34" s="1">
        <f>E29+E31</f>
        <v>0</v>
      </c>
      <c r="F34" s="1">
        <f t="shared" ref="F34:M34" si="18">SUM(F32:F33)</f>
        <v>0</v>
      </c>
      <c r="G34" s="1">
        <f t="shared" si="18"/>
        <v>300000</v>
      </c>
      <c r="H34" s="1">
        <f t="shared" si="18"/>
        <v>900000</v>
      </c>
      <c r="I34" s="1">
        <f t="shared" si="18"/>
        <v>1456000</v>
      </c>
      <c r="J34" s="1">
        <f t="shared" si="18"/>
        <v>1968000</v>
      </c>
      <c r="K34" s="1">
        <f t="shared" si="18"/>
        <v>2480000</v>
      </c>
      <c r="L34" s="1">
        <f t="shared" si="18"/>
        <v>2670000</v>
      </c>
      <c r="M34" s="1">
        <f t="shared" si="18"/>
        <v>2560000</v>
      </c>
      <c r="N34" s="1">
        <f>SUM(N32:N33)</f>
        <v>1680000</v>
      </c>
      <c r="O34" s="1">
        <f>SUM(O32:O33)</f>
        <v>800000</v>
      </c>
      <c r="P34" s="1">
        <f>SUM(P32:P33)</f>
        <v>0</v>
      </c>
      <c r="Q34" s="1">
        <f>SUM(Q32:Q33)</f>
        <v>0</v>
      </c>
      <c r="R34" s="6"/>
    </row>
    <row r="35" spans="2:18" outlineLevel="1" x14ac:dyDescent="0.15">
      <c r="B35" s="233" t="s">
        <v>111</v>
      </c>
      <c r="C35" s="233" t="s">
        <v>375</v>
      </c>
      <c r="D35" s="1" t="str">
        <f t="shared" si="12"/>
        <v>Rimborso Iva</v>
      </c>
      <c r="E35" s="1"/>
      <c r="F35" s="1">
        <f>IF(SUM($E$15:F15)=1,F34,0)</f>
        <v>0</v>
      </c>
      <c r="G35" s="1">
        <f>IF(SUM($E$15:G15)=1,G34,0)</f>
        <v>0</v>
      </c>
      <c r="H35" s="1">
        <f>IF(SUM($E$15:H15)=1,H34,0)</f>
        <v>0</v>
      </c>
      <c r="I35" s="1">
        <f>IF(SUM($E$15:I15)=1,I34,0)</f>
        <v>0</v>
      </c>
      <c r="J35" s="1">
        <f>IF(SUM($E$15:J15)=1,J34,0)</f>
        <v>0</v>
      </c>
      <c r="K35" s="1">
        <f>IF(SUM($E$15:K15)=1,K34,0)</f>
        <v>0</v>
      </c>
      <c r="L35" s="1">
        <f>IF(SUM($E$15:L15)=1,L34,0)</f>
        <v>0</v>
      </c>
      <c r="M35" s="1">
        <f>IF(SUM($E$15:M15)=1,M34,0)</f>
        <v>0</v>
      </c>
      <c r="N35" s="1">
        <f>IF(SUM($E$15:N15)=1,N34,0)</f>
        <v>0</v>
      </c>
      <c r="O35" s="1">
        <f>IF(SUM($E$15:O15)=1,O34,0)</f>
        <v>800000</v>
      </c>
      <c r="P35" s="1">
        <f>IF(SUM($E$15:P15)=1,P34,0)</f>
        <v>0</v>
      </c>
      <c r="Q35" s="1">
        <f>IF(SUM($E$15:Q15)=1,Q34,0)</f>
        <v>0</v>
      </c>
      <c r="R35" s="6">
        <f>SUM(E35:Q35)</f>
        <v>800000</v>
      </c>
    </row>
    <row r="36" spans="2:18" outlineLevel="1" x14ac:dyDescent="0.15">
      <c r="B36" s="236" t="s">
        <v>166</v>
      </c>
      <c r="C36" s="236" t="s">
        <v>230</v>
      </c>
      <c r="D36" s="6" t="str">
        <f t="shared" si="12"/>
        <v>Credito IVA Finale</v>
      </c>
      <c r="E36" s="1">
        <f>E32-E33-E35</f>
        <v>0</v>
      </c>
      <c r="F36" s="1">
        <f t="shared" ref="F36:M36" si="19">F34-F35</f>
        <v>0</v>
      </c>
      <c r="G36" s="1">
        <f t="shared" si="19"/>
        <v>300000</v>
      </c>
      <c r="H36" s="1">
        <f t="shared" si="19"/>
        <v>900000</v>
      </c>
      <c r="I36" s="1">
        <f t="shared" si="19"/>
        <v>1456000</v>
      </c>
      <c r="J36" s="1">
        <f t="shared" si="19"/>
        <v>1968000</v>
      </c>
      <c r="K36" s="1">
        <f t="shared" si="19"/>
        <v>2480000</v>
      </c>
      <c r="L36" s="1">
        <f t="shared" si="19"/>
        <v>2670000</v>
      </c>
      <c r="M36" s="1">
        <f t="shared" si="19"/>
        <v>2560000</v>
      </c>
      <c r="N36" s="1">
        <f>N34-N35</f>
        <v>1680000</v>
      </c>
      <c r="O36" s="1">
        <f>O34-O35</f>
        <v>0</v>
      </c>
      <c r="P36" s="1">
        <f>P34-P35</f>
        <v>0</v>
      </c>
      <c r="Q36" s="1">
        <f>Q34-Q35</f>
        <v>0</v>
      </c>
      <c r="R36" s="6"/>
    </row>
    <row r="37" spans="2:18" outlineLevel="1" x14ac:dyDescent="0.1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>
        <f>SUM(E37:Q37)</f>
        <v>0</v>
      </c>
    </row>
    <row r="38" spans="2:18" outlineLevel="1" x14ac:dyDescent="0.15">
      <c r="B38" s="236" t="s">
        <v>38</v>
      </c>
      <c r="C38" s="236" t="s">
        <v>331</v>
      </c>
      <c r="D38" s="6" t="str">
        <f t="shared" ref="D38:D39" si="20">IF($A$1=1,B38,C38)</f>
        <v>Flusso IVA</v>
      </c>
      <c r="E38" s="6">
        <f t="shared" ref="E38:Q38" si="21">E27+E30+E35</f>
        <v>0</v>
      </c>
      <c r="F38" s="6">
        <f t="shared" si="21"/>
        <v>0</v>
      </c>
      <c r="G38" s="6">
        <f t="shared" si="21"/>
        <v>-300000</v>
      </c>
      <c r="H38" s="6">
        <f t="shared" si="21"/>
        <v>-600000</v>
      </c>
      <c r="I38" s="6">
        <f t="shared" si="21"/>
        <v>-556000</v>
      </c>
      <c r="J38" s="6">
        <f t="shared" si="21"/>
        <v>-512000</v>
      </c>
      <c r="K38" s="6">
        <f t="shared" si="21"/>
        <v>-512000</v>
      </c>
      <c r="L38" s="6">
        <f t="shared" si="21"/>
        <v>-190000</v>
      </c>
      <c r="M38" s="6">
        <f t="shared" si="21"/>
        <v>110000</v>
      </c>
      <c r="N38" s="6">
        <f t="shared" si="21"/>
        <v>880000</v>
      </c>
      <c r="O38" s="6">
        <f t="shared" si="21"/>
        <v>1680000</v>
      </c>
      <c r="P38" s="6">
        <f t="shared" si="21"/>
        <v>0</v>
      </c>
      <c r="Q38" s="6">
        <f t="shared" si="21"/>
        <v>0</v>
      </c>
      <c r="R38" s="6">
        <f>SUM(E38:Q38)</f>
        <v>0</v>
      </c>
    </row>
    <row r="39" spans="2:18" outlineLevel="1" x14ac:dyDescent="0.15">
      <c r="B39" s="235" t="s">
        <v>36</v>
      </c>
      <c r="C39" s="235" t="s">
        <v>332</v>
      </c>
      <c r="D39" s="5" t="str">
        <f t="shared" si="20"/>
        <v>Flusso Operativo con IVA</v>
      </c>
      <c r="E39" s="5">
        <f t="shared" ref="E39:Q39" si="22">E22+E38</f>
        <v>-12000000</v>
      </c>
      <c r="F39" s="5">
        <f t="shared" si="22"/>
        <v>0</v>
      </c>
      <c r="G39" s="5">
        <f t="shared" si="22"/>
        <v>-3300000</v>
      </c>
      <c r="H39" s="5">
        <f t="shared" si="22"/>
        <v>-6600000</v>
      </c>
      <c r="I39" s="5">
        <f t="shared" si="22"/>
        <v>-5456000</v>
      </c>
      <c r="J39" s="5">
        <f t="shared" si="22"/>
        <v>-4312000</v>
      </c>
      <c r="K39" s="5">
        <f t="shared" si="22"/>
        <v>-4312000</v>
      </c>
      <c r="L39" s="5">
        <f t="shared" si="22"/>
        <v>-440000</v>
      </c>
      <c r="M39" s="5">
        <f t="shared" si="22"/>
        <v>2860000</v>
      </c>
      <c r="N39" s="5">
        <f t="shared" si="22"/>
        <v>22880000</v>
      </c>
      <c r="O39" s="5">
        <f t="shared" si="22"/>
        <v>23680000</v>
      </c>
      <c r="P39" s="5">
        <f t="shared" si="22"/>
        <v>0</v>
      </c>
      <c r="Q39" s="5">
        <f t="shared" si="22"/>
        <v>0</v>
      </c>
      <c r="R39" s="6">
        <f>SUM(E39:Q39)</f>
        <v>13000000</v>
      </c>
    </row>
    <row r="40" spans="2:18" x14ac:dyDescent="0.15">
      <c r="B40" s="6"/>
      <c r="C40" s="6"/>
      <c r="D40" s="6"/>
      <c r="E40" s="1"/>
      <c r="F40" s="1"/>
    </row>
    <row r="41" spans="2:18" s="5" customFormat="1" x14ac:dyDescent="0.15">
      <c r="B41" s="235" t="s">
        <v>1</v>
      </c>
      <c r="C41" s="235" t="s">
        <v>234</v>
      </c>
      <c r="D41" s="5" t="str">
        <f t="shared" ref="D41:D45" si="23">IF($A$1=1,B41,C41)</f>
        <v>Erogazione</v>
      </c>
      <c r="G41" s="179" t="str">
        <f>IF($A$1=1,"IVA","VAT")</f>
        <v>IVA</v>
      </c>
      <c r="I41" s="5" t="str">
        <f>IF($A$1=1,"Fideiussioni","Bank Guarantee")</f>
        <v>Fideiussioni</v>
      </c>
      <c r="R41" s="6"/>
    </row>
    <row r="42" spans="2:18" s="5" customFormat="1" x14ac:dyDescent="0.15">
      <c r="B42" s="233" t="s">
        <v>175</v>
      </c>
      <c r="C42" s="233" t="s">
        <v>333</v>
      </c>
      <c r="D42" s="1" t="str">
        <f t="shared" si="23"/>
        <v>Vincolo LTV %</v>
      </c>
      <c r="E42" s="237">
        <v>0.6</v>
      </c>
      <c r="F42" s="1">
        <f>E42*E5</f>
        <v>33000000</v>
      </c>
      <c r="R42" s="6"/>
    </row>
    <row r="43" spans="2:18" s="5" customFormat="1" x14ac:dyDescent="0.15">
      <c r="B43" s="233" t="s">
        <v>176</v>
      </c>
      <c r="C43" s="233" t="s">
        <v>334</v>
      </c>
      <c r="D43" s="1" t="str">
        <f t="shared" si="23"/>
        <v>Vincolo LTC %</v>
      </c>
      <c r="E43" s="237">
        <v>1</v>
      </c>
      <c r="F43" s="1">
        <f>E43*E4</f>
        <v>30000000</v>
      </c>
      <c r="G43" s="237">
        <v>1</v>
      </c>
      <c r="H43" s="1">
        <f>E4*E7</f>
        <v>3000000</v>
      </c>
      <c r="I43" s="234">
        <v>1</v>
      </c>
      <c r="J43" s="1">
        <f>I43*R20</f>
        <v>11000000</v>
      </c>
      <c r="R43" s="6"/>
    </row>
    <row r="44" spans="2:18" s="5" customFormat="1" x14ac:dyDescent="0.15">
      <c r="B44" s="233" t="s">
        <v>8</v>
      </c>
      <c r="C44" s="233" t="s">
        <v>210</v>
      </c>
      <c r="D44" s="1" t="str">
        <f t="shared" si="23"/>
        <v>Importo Massimo</v>
      </c>
      <c r="F44" s="238">
        <v>35000000</v>
      </c>
      <c r="H44" s="238">
        <v>3500000</v>
      </c>
      <c r="J44" s="238">
        <v>12000000</v>
      </c>
      <c r="R44" s="6"/>
    </row>
    <row r="45" spans="2:18" s="5" customFormat="1" x14ac:dyDescent="0.15">
      <c r="B45" s="235" t="s">
        <v>174</v>
      </c>
      <c r="C45" s="235" t="s">
        <v>335</v>
      </c>
      <c r="D45" s="5" t="str">
        <f t="shared" si="23"/>
        <v>Importo finanziato</v>
      </c>
      <c r="F45" s="5">
        <f>MIN(F42:F44)</f>
        <v>30000000</v>
      </c>
      <c r="H45" s="5">
        <f>MIN(H42:H44)</f>
        <v>3000000</v>
      </c>
      <c r="J45" s="5">
        <f>MIN(J42:J44)</f>
        <v>11000000</v>
      </c>
      <c r="R45" s="6"/>
    </row>
    <row r="46" spans="2:18" s="5" customFormat="1" x14ac:dyDescent="0.15">
      <c r="R46" s="6"/>
    </row>
    <row r="47" spans="2:18" x14ac:dyDescent="0.15">
      <c r="B47" s="235" t="s">
        <v>143</v>
      </c>
      <c r="C47" s="235" t="s">
        <v>336</v>
      </c>
      <c r="D47" s="5" t="str">
        <f t="shared" ref="D47:D51" si="24">IF($A$1=1,B47,C47)</f>
        <v>Tassi</v>
      </c>
      <c r="E47" s="5" t="str">
        <f>IF($A$1=1,"Costruzioni","Construction")</f>
        <v>Costruzioni</v>
      </c>
      <c r="F47" s="5" t="str">
        <f>IF($A$1=1,"Completato","Built")</f>
        <v>Completato</v>
      </c>
      <c r="G47" s="179" t="str">
        <f>IF($A$1=1,"IVA","VAT")</f>
        <v>IVA</v>
      </c>
      <c r="H47" s="5" t="str">
        <f>IF($A$1=1,"Fideiussioni","Bank Guarantee")</f>
        <v>Fideiussioni</v>
      </c>
    </row>
    <row r="48" spans="2:18" x14ac:dyDescent="0.15">
      <c r="B48" s="233" t="s">
        <v>25</v>
      </c>
      <c r="C48" s="233" t="s">
        <v>194</v>
      </c>
      <c r="D48" s="1" t="str">
        <f t="shared" si="24"/>
        <v xml:space="preserve">Margine </v>
      </c>
      <c r="E48" s="239">
        <v>2.5000000000000001E-2</v>
      </c>
      <c r="F48" s="239">
        <v>1.7500000000000002E-2</v>
      </c>
      <c r="G48" s="239">
        <v>0.02</v>
      </c>
      <c r="H48" s="239">
        <v>0.01</v>
      </c>
    </row>
    <row r="49" spans="2:18" x14ac:dyDescent="0.15">
      <c r="B49" s="233" t="s">
        <v>12</v>
      </c>
      <c r="C49" s="233" t="s">
        <v>12</v>
      </c>
      <c r="D49" s="1" t="str">
        <f t="shared" si="24"/>
        <v>Euribor 3 M</v>
      </c>
      <c r="E49" s="240">
        <v>2.5000000000000001E-2</v>
      </c>
      <c r="F49" s="11">
        <f>E49</f>
        <v>2.5000000000000001E-2</v>
      </c>
      <c r="G49" s="11">
        <f>F49</f>
        <v>2.5000000000000001E-2</v>
      </c>
      <c r="H49" s="11"/>
    </row>
    <row r="50" spans="2:18" x14ac:dyDescent="0.15">
      <c r="B50" s="233" t="s">
        <v>88</v>
      </c>
      <c r="C50" s="233" t="s">
        <v>337</v>
      </c>
      <c r="D50" s="1" t="str">
        <f t="shared" si="24"/>
        <v>Tasso Finale annuale</v>
      </c>
      <c r="E50" s="11">
        <f>E49+E48</f>
        <v>0.05</v>
      </c>
      <c r="F50" s="11">
        <f>F49+F48</f>
        <v>4.2500000000000003E-2</v>
      </c>
      <c r="G50" s="11">
        <f>G49+G48</f>
        <v>4.4999999999999998E-2</v>
      </c>
      <c r="H50" s="11">
        <f>H49+H48</f>
        <v>0.01</v>
      </c>
    </row>
    <row r="51" spans="2:18" x14ac:dyDescent="0.15">
      <c r="B51" s="233" t="s">
        <v>142</v>
      </c>
      <c r="C51" s="233" t="s">
        <v>338</v>
      </c>
      <c r="D51" s="1" t="str">
        <f t="shared" si="24"/>
        <v>Tasso Finale trimestrale</v>
      </c>
      <c r="E51" s="11">
        <f>E50/4</f>
        <v>1.2500000000000001E-2</v>
      </c>
      <c r="F51" s="11">
        <f t="shared" ref="F51:H51" si="25">F50/4</f>
        <v>1.0625000000000001E-2</v>
      </c>
      <c r="G51" s="11">
        <f t="shared" si="25"/>
        <v>1.125E-2</v>
      </c>
      <c r="H51" s="11">
        <f t="shared" si="25"/>
        <v>2.5000000000000001E-3</v>
      </c>
    </row>
    <row r="52" spans="2:18" x14ac:dyDescent="0.15">
      <c r="E52" s="1"/>
      <c r="F52" s="1"/>
      <c r="G52" s="12"/>
    </row>
    <row r="53" spans="2:18" x14ac:dyDescent="0.15">
      <c r="B53" s="233" t="s">
        <v>106</v>
      </c>
      <c r="C53" s="233" t="s">
        <v>106</v>
      </c>
      <c r="D53" s="1" t="str">
        <f t="shared" ref="D53:D54" si="26">IF($A$1=1,B53,C53)</f>
        <v>Covenant LTV</v>
      </c>
      <c r="E53" s="237">
        <v>0.6</v>
      </c>
      <c r="F53" s="1"/>
    </row>
    <row r="54" spans="2:18" x14ac:dyDescent="0.15">
      <c r="B54" s="233" t="s">
        <v>11</v>
      </c>
      <c r="C54" s="233" t="s">
        <v>11</v>
      </c>
      <c r="D54" s="1" t="str">
        <f t="shared" si="26"/>
        <v>Release Pricing</v>
      </c>
      <c r="E54" s="237">
        <v>1.2</v>
      </c>
      <c r="F54" s="1"/>
    </row>
    <row r="55" spans="2:18" x14ac:dyDescent="0.15">
      <c r="B55" s="5"/>
      <c r="C55" s="5"/>
      <c r="D55" s="5"/>
      <c r="E55" s="5"/>
      <c r="F55" s="1"/>
    </row>
    <row r="56" spans="2:18" x14ac:dyDescent="0.15">
      <c r="B56" s="235" t="s">
        <v>128</v>
      </c>
      <c r="C56" s="235" t="s">
        <v>339</v>
      </c>
      <c r="D56" s="5" t="str">
        <f t="shared" ref="D56:D60" si="27">IF($A$1=1,B56,C56)</f>
        <v>Commissioni e Spese</v>
      </c>
      <c r="E56" s="3"/>
    </row>
    <row r="57" spans="2:18" x14ac:dyDescent="0.15">
      <c r="B57" s="233" t="s">
        <v>125</v>
      </c>
      <c r="C57" s="233" t="s">
        <v>192</v>
      </c>
      <c r="D57" s="1" t="str">
        <f t="shared" si="27"/>
        <v>Imposta sostitutiva</v>
      </c>
      <c r="E57" s="241">
        <v>2.5000000000000001E-3</v>
      </c>
      <c r="F57" s="9"/>
      <c r="G57" s="9"/>
      <c r="H57" s="9"/>
    </row>
    <row r="58" spans="2:18" x14ac:dyDescent="0.15">
      <c r="B58" s="233" t="s">
        <v>14</v>
      </c>
      <c r="C58" s="233" t="s">
        <v>14</v>
      </c>
      <c r="D58" s="1" t="str">
        <f t="shared" si="27"/>
        <v>Arrangement Fee</v>
      </c>
      <c r="E58" s="239">
        <v>0.01</v>
      </c>
      <c r="F58" s="1"/>
      <c r="G58" s="3"/>
    </row>
    <row r="59" spans="2:18" x14ac:dyDescent="0.15">
      <c r="B59" s="233" t="s">
        <v>96</v>
      </c>
      <c r="C59" s="233" t="s">
        <v>340</v>
      </c>
      <c r="D59" s="1" t="str">
        <f t="shared" si="27"/>
        <v>Commisisone mancato utilizzo Annuale</v>
      </c>
      <c r="E59" s="239">
        <v>0.01</v>
      </c>
      <c r="F59" s="1"/>
      <c r="G59" s="3"/>
      <c r="H59" s="3"/>
    </row>
    <row r="60" spans="2:18" x14ac:dyDescent="0.15">
      <c r="B60" s="233" t="s">
        <v>144</v>
      </c>
      <c r="C60" s="233" t="s">
        <v>341</v>
      </c>
      <c r="D60" s="1" t="str">
        <f t="shared" si="27"/>
        <v>Commisisone mancato utilizzo Trimestrale</v>
      </c>
      <c r="E60" s="8">
        <f>(1+E59)^(1/4)-1</f>
        <v>2.4906793143211203E-3</v>
      </c>
      <c r="F60" s="8"/>
      <c r="G60" s="3"/>
      <c r="H60" s="3"/>
    </row>
    <row r="61" spans="2:18" x14ac:dyDescent="0.15">
      <c r="E61" s="10"/>
      <c r="F61" s="9"/>
      <c r="G61" s="9"/>
      <c r="H61" s="9"/>
    </row>
    <row r="62" spans="2:18" x14ac:dyDescent="0.15">
      <c r="B62" s="235" t="s">
        <v>145</v>
      </c>
      <c r="C62" s="235" t="s">
        <v>342</v>
      </c>
      <c r="D62" s="5" t="str">
        <f t="shared" ref="D62:D74" si="28">IF($A$1=1,B62,C62)</f>
        <v>Linea Principale</v>
      </c>
      <c r="E62" s="235">
        <v>0</v>
      </c>
      <c r="F62" s="235">
        <v>1</v>
      </c>
      <c r="G62" s="235">
        <v>2</v>
      </c>
      <c r="H62" s="235">
        <v>3</v>
      </c>
      <c r="I62" s="235">
        <v>4</v>
      </c>
      <c r="J62" s="235">
        <v>5</v>
      </c>
      <c r="K62" s="235">
        <v>6</v>
      </c>
      <c r="L62" s="235">
        <v>7</v>
      </c>
      <c r="M62" s="235">
        <v>8</v>
      </c>
      <c r="N62" s="235">
        <v>9</v>
      </c>
      <c r="O62" s="235">
        <v>10</v>
      </c>
      <c r="P62" s="235">
        <v>11</v>
      </c>
      <c r="Q62" s="235">
        <v>12</v>
      </c>
      <c r="R62" s="235" t="s">
        <v>368</v>
      </c>
    </row>
    <row r="63" spans="2:18" x14ac:dyDescent="0.15">
      <c r="B63" s="236" t="s">
        <v>162</v>
      </c>
      <c r="C63" s="236" t="s">
        <v>343</v>
      </c>
      <c r="D63" s="6" t="str">
        <f t="shared" si="28"/>
        <v>Finanziamento Iniziale</v>
      </c>
      <c r="E63" s="14"/>
      <c r="F63" s="6">
        <f>E68</f>
        <v>0</v>
      </c>
      <c r="G63" s="6">
        <f>F68</f>
        <v>0</v>
      </c>
      <c r="H63" s="6">
        <f>G68</f>
        <v>3000000</v>
      </c>
      <c r="I63" s="6">
        <f t="shared" ref="I63:Q63" si="29">H68</f>
        <v>9000000</v>
      </c>
      <c r="J63" s="6">
        <f t="shared" si="29"/>
        <v>15000000</v>
      </c>
      <c r="K63" s="6">
        <f t="shared" si="29"/>
        <v>21000000</v>
      </c>
      <c r="L63" s="6">
        <f t="shared" si="29"/>
        <v>27000000</v>
      </c>
      <c r="M63" s="6">
        <f t="shared" si="29"/>
        <v>30000000</v>
      </c>
      <c r="N63" s="6">
        <f t="shared" si="29"/>
        <v>30000000</v>
      </c>
      <c r="O63" s="6">
        <f t="shared" si="29"/>
        <v>12000000</v>
      </c>
      <c r="P63" s="6">
        <f t="shared" si="29"/>
        <v>0</v>
      </c>
      <c r="Q63" s="6">
        <f t="shared" si="29"/>
        <v>0</v>
      </c>
      <c r="R63" s="6"/>
    </row>
    <row r="64" spans="2:18" x14ac:dyDescent="0.15">
      <c r="B64" s="233" t="s">
        <v>1</v>
      </c>
      <c r="C64" s="233" t="s">
        <v>234</v>
      </c>
      <c r="D64" s="1" t="str">
        <f t="shared" si="28"/>
        <v>Erogazione</v>
      </c>
      <c r="E64" s="1">
        <f t="shared" ref="E64:Q64" si="30">-$E$43*E19</f>
        <v>0</v>
      </c>
      <c r="F64" s="1">
        <f t="shared" si="30"/>
        <v>0</v>
      </c>
      <c r="G64" s="1">
        <f t="shared" si="30"/>
        <v>3000000</v>
      </c>
      <c r="H64" s="1">
        <f t="shared" si="30"/>
        <v>6000000</v>
      </c>
      <c r="I64" s="1">
        <f t="shared" si="30"/>
        <v>6000000</v>
      </c>
      <c r="J64" s="1">
        <f t="shared" si="30"/>
        <v>6000000</v>
      </c>
      <c r="K64" s="1">
        <f t="shared" si="30"/>
        <v>6000000</v>
      </c>
      <c r="L64" s="1">
        <f t="shared" si="30"/>
        <v>3000000</v>
      </c>
      <c r="M64" s="1">
        <f t="shared" si="30"/>
        <v>0</v>
      </c>
      <c r="N64" s="1">
        <f t="shared" si="30"/>
        <v>0</v>
      </c>
      <c r="O64" s="1">
        <f t="shared" si="30"/>
        <v>0</v>
      </c>
      <c r="P64" s="1">
        <f t="shared" si="30"/>
        <v>0</v>
      </c>
      <c r="Q64" s="1">
        <f t="shared" si="30"/>
        <v>0</v>
      </c>
      <c r="R64" s="6">
        <f t="shared" ref="R64:R74" si="31">SUM(E64:Q64)</f>
        <v>30000000</v>
      </c>
    </row>
    <row r="65" spans="2:18" x14ac:dyDescent="0.15">
      <c r="B65" s="233" t="s">
        <v>22</v>
      </c>
      <c r="C65" s="233" t="s">
        <v>22</v>
      </c>
      <c r="D65" s="1" t="str">
        <f t="shared" si="28"/>
        <v>Arrangement fee</v>
      </c>
      <c r="E65" s="1"/>
      <c r="F65" s="1">
        <f>IF(SUM($E$65:E65)=0,IF(F64=0,0,-$E$58*$F$45),0)</f>
        <v>0</v>
      </c>
      <c r="G65" s="1">
        <f>IF(SUM($E$65:F65)=0,IF(G64=0,0,-$E$58*$F$45),0)</f>
        <v>-300000</v>
      </c>
      <c r="H65" s="1">
        <f>IF(SUM($E$65:G65)=0,IF(H64=0,0,-$E$58*$F$45),0)</f>
        <v>0</v>
      </c>
      <c r="I65" s="1">
        <f>IF(SUM($E$65:H65)=0,IF(I64=0,0,-$E$58*$F$45),0)</f>
        <v>0</v>
      </c>
      <c r="J65" s="1">
        <f>IF(SUM($E$65:I65)=0,IF(J64=0,0,-$E$58*$F$45),0)</f>
        <v>0</v>
      </c>
      <c r="K65" s="1">
        <f>IF(SUM($E$65:J65)=0,IF(K64=0,0,-$E$58*$F$45),0)</f>
        <v>0</v>
      </c>
      <c r="L65" s="1">
        <f>IF(SUM($E$65:K65)=0,IF(L64=0,0,-$E$58*$F$45),0)</f>
        <v>0</v>
      </c>
      <c r="M65" s="1">
        <f>IF(SUM($E$65:L65)=0,IF(M64=0,0,-$E$58*$F$45),0)</f>
        <v>0</v>
      </c>
      <c r="N65" s="1">
        <f>IF(SUM($E$65:M65)=0,IF(N64=0,0,-$E$58*$F$45),0)</f>
        <v>0</v>
      </c>
      <c r="O65" s="1">
        <f>IF(SUM($E$65:N65)=0,IF(O64=0,0,-$E$58*$F$45),0)</f>
        <v>0</v>
      </c>
      <c r="P65" s="1">
        <f>IF(SUM($E$65:O65)=0,IF(P64=0,0,-$E$58*$F$45),0)</f>
        <v>0</v>
      </c>
      <c r="Q65" s="1">
        <f>IF(SUM($E$65:P65)=0,IF(Q64=0,0,-$E$58*$F$45),0)</f>
        <v>0</v>
      </c>
      <c r="R65" s="6">
        <f t="shared" si="31"/>
        <v>-300000</v>
      </c>
    </row>
    <row r="66" spans="2:18" x14ac:dyDescent="0.15">
      <c r="B66" s="233" t="s">
        <v>125</v>
      </c>
      <c r="C66" s="233" t="s">
        <v>192</v>
      </c>
      <c r="D66" s="1" t="str">
        <f t="shared" si="28"/>
        <v>Imposta sostitutiva</v>
      </c>
      <c r="E66" s="1"/>
      <c r="F66" s="1">
        <f t="shared" ref="F66:Q66" si="32">-$E$57*F64</f>
        <v>0</v>
      </c>
      <c r="G66" s="1">
        <f t="shared" si="32"/>
        <v>-7500</v>
      </c>
      <c r="H66" s="1">
        <f t="shared" si="32"/>
        <v>-15000</v>
      </c>
      <c r="I66" s="1">
        <f t="shared" si="32"/>
        <v>-15000</v>
      </c>
      <c r="J66" s="1">
        <f t="shared" si="32"/>
        <v>-15000</v>
      </c>
      <c r="K66" s="1">
        <f t="shared" si="32"/>
        <v>-15000</v>
      </c>
      <c r="L66" s="1">
        <f t="shared" si="32"/>
        <v>-7500</v>
      </c>
      <c r="M66" s="1">
        <f t="shared" si="32"/>
        <v>0</v>
      </c>
      <c r="N66" s="1">
        <f t="shared" si="32"/>
        <v>0</v>
      </c>
      <c r="O66" s="1">
        <f t="shared" si="32"/>
        <v>0</v>
      </c>
      <c r="P66" s="1">
        <f t="shared" si="32"/>
        <v>0</v>
      </c>
      <c r="Q66" s="1">
        <f t="shared" si="32"/>
        <v>0</v>
      </c>
      <c r="R66" s="6">
        <f t="shared" si="31"/>
        <v>-75000</v>
      </c>
    </row>
    <row r="67" spans="2:18" x14ac:dyDescent="0.15">
      <c r="B67" s="233" t="s">
        <v>23</v>
      </c>
      <c r="C67" s="233" t="s">
        <v>374</v>
      </c>
      <c r="D67" s="1" t="str">
        <f t="shared" si="28"/>
        <v>Rimborso</v>
      </c>
      <c r="E67" s="1"/>
      <c r="F67" s="1">
        <f t="shared" ref="F67:Q67" si="33">-MIN(F63,$E$54*F15*$E$4)</f>
        <v>0</v>
      </c>
      <c r="G67" s="1">
        <f t="shared" si="33"/>
        <v>0</v>
      </c>
      <c r="H67" s="1">
        <f t="shared" si="33"/>
        <v>0</v>
      </c>
      <c r="I67" s="1">
        <f t="shared" si="33"/>
        <v>0</v>
      </c>
      <c r="J67" s="1">
        <f t="shared" si="33"/>
        <v>0</v>
      </c>
      <c r="K67" s="1">
        <f t="shared" si="33"/>
        <v>0</v>
      </c>
      <c r="L67" s="1">
        <f t="shared" si="33"/>
        <v>0</v>
      </c>
      <c r="M67" s="1">
        <f t="shared" si="33"/>
        <v>0</v>
      </c>
      <c r="N67" s="1">
        <f t="shared" si="33"/>
        <v>-18000000</v>
      </c>
      <c r="O67" s="1">
        <f t="shared" si="33"/>
        <v>-12000000</v>
      </c>
      <c r="P67" s="1">
        <f t="shared" si="33"/>
        <v>0</v>
      </c>
      <c r="Q67" s="1">
        <f t="shared" si="33"/>
        <v>0</v>
      </c>
      <c r="R67" s="6">
        <f t="shared" si="31"/>
        <v>-30000000</v>
      </c>
    </row>
    <row r="68" spans="2:18" x14ac:dyDescent="0.15">
      <c r="B68" s="236" t="s">
        <v>163</v>
      </c>
      <c r="C68" s="236" t="s">
        <v>236</v>
      </c>
      <c r="D68" s="6" t="str">
        <f t="shared" si="28"/>
        <v>Finanziamento Finale</v>
      </c>
      <c r="E68" s="6">
        <f t="shared" ref="E68:Q68" si="34">E63+E64+E67</f>
        <v>0</v>
      </c>
      <c r="F68" s="6">
        <f t="shared" si="34"/>
        <v>0</v>
      </c>
      <c r="G68" s="6">
        <f t="shared" si="34"/>
        <v>3000000</v>
      </c>
      <c r="H68" s="6">
        <f t="shared" si="34"/>
        <v>9000000</v>
      </c>
      <c r="I68" s="6">
        <f t="shared" si="34"/>
        <v>15000000</v>
      </c>
      <c r="J68" s="6">
        <f t="shared" si="34"/>
        <v>21000000</v>
      </c>
      <c r="K68" s="6">
        <f t="shared" si="34"/>
        <v>27000000</v>
      </c>
      <c r="L68" s="6">
        <f t="shared" si="34"/>
        <v>30000000</v>
      </c>
      <c r="M68" s="6">
        <f t="shared" si="34"/>
        <v>30000000</v>
      </c>
      <c r="N68" s="6">
        <f t="shared" si="34"/>
        <v>12000000</v>
      </c>
      <c r="O68" s="6">
        <f t="shared" si="34"/>
        <v>0</v>
      </c>
      <c r="P68" s="6">
        <f t="shared" si="34"/>
        <v>0</v>
      </c>
      <c r="Q68" s="6">
        <f t="shared" si="34"/>
        <v>0</v>
      </c>
      <c r="R68" s="6"/>
    </row>
    <row r="69" spans="2:18" x14ac:dyDescent="0.15">
      <c r="B69" s="236" t="s">
        <v>112</v>
      </c>
      <c r="C69" s="236" t="s">
        <v>344</v>
      </c>
      <c r="D69" s="6" t="str">
        <f t="shared" si="28"/>
        <v>Interessi Costruzione</v>
      </c>
      <c r="E69" s="6"/>
      <c r="F69" s="6">
        <f>-IF(SUM($E$13:E13)&lt;1,$E$51*F68,0)</f>
        <v>0</v>
      </c>
      <c r="G69" s="6">
        <f>-IF(SUM($E$13:F13)&lt;1,$E$51*G68,0)</f>
        <v>-37500</v>
      </c>
      <c r="H69" s="6">
        <f>-IF(SUM($E$13:G13)&lt;1,$E$51*H68,0)</f>
        <v>-112500</v>
      </c>
      <c r="I69" s="6">
        <f>-IF(SUM($E$13:H13)&lt;1,$E$51*I68,0)</f>
        <v>-187500</v>
      </c>
      <c r="J69" s="6">
        <f>-IF(SUM($E$13:I13)&lt;1,$E$51*J68,0)</f>
        <v>-262500</v>
      </c>
      <c r="K69" s="6">
        <f>-IF(SUM($E$13:J13)&lt;1,$E$51*K68,0)</f>
        <v>-337500</v>
      </c>
      <c r="L69" s="6">
        <f>-IF(SUM($E$13:K13)&lt;1,$E$51*L68,0)</f>
        <v>-375000</v>
      </c>
      <c r="M69" s="6">
        <f>-IF(SUM($E$13:L13)&lt;1,$E$51*M68,0)</f>
        <v>0</v>
      </c>
      <c r="N69" s="6">
        <f>-IF(SUM($E$13:M13)&lt;1,$E$51*N68,0)</f>
        <v>0</v>
      </c>
      <c r="O69" s="6">
        <f>-IF(SUM($E$13:N13)&lt;1,$E$51*O68,0)</f>
        <v>0</v>
      </c>
      <c r="P69" s="6">
        <f>-IF(SUM($E$13:O13)&lt;1,$E$51*P68,0)</f>
        <v>0</v>
      </c>
      <c r="Q69" s="6">
        <f>-IF(SUM($E$13:P13)&lt;1,$E$51*Q68,0)</f>
        <v>0</v>
      </c>
      <c r="R69" s="6">
        <f t="shared" si="31"/>
        <v>-1312500</v>
      </c>
    </row>
    <row r="70" spans="2:18" x14ac:dyDescent="0.15">
      <c r="B70" s="236" t="s">
        <v>178</v>
      </c>
      <c r="C70" s="236" t="s">
        <v>367</v>
      </c>
      <c r="D70" s="6" t="str">
        <f t="shared" si="28"/>
        <v>Interessi Completato</v>
      </c>
      <c r="E70" s="6"/>
      <c r="F70" s="6">
        <f>-IF(SUM($E$13:E13)=1,$F$51*F68,0)</f>
        <v>0</v>
      </c>
      <c r="G70" s="6">
        <f>-IF(SUM($E$13:F13)=1,$F$51*G68,0)</f>
        <v>0</v>
      </c>
      <c r="H70" s="6">
        <f>-IF(SUM($E$13:G13)=1,$F$51*H68,0)</f>
        <v>0</v>
      </c>
      <c r="I70" s="6">
        <f>-IF(SUM($E$13:H13)=1,$F$51*I68,0)</f>
        <v>0</v>
      </c>
      <c r="J70" s="6">
        <f>-IF(SUM($E$13:I13)=1,$F$51*J68,0)</f>
        <v>0</v>
      </c>
      <c r="K70" s="6">
        <f>-IF(SUM($E$13:J13)=1,$F$51*K68,0)</f>
        <v>0</v>
      </c>
      <c r="L70" s="6">
        <f>-IF(SUM($E$13:K13)=1,$F$51*L68,0)</f>
        <v>0</v>
      </c>
      <c r="M70" s="6">
        <f>-IF(SUM($E$13:L13)=1,$F$51*M68,0)</f>
        <v>-318750</v>
      </c>
      <c r="N70" s="6">
        <f>-IF(SUM($E$13:M13)=1,$F$51*N68,0)</f>
        <v>-127500.00000000001</v>
      </c>
      <c r="O70" s="6">
        <f>-IF(SUM($E$13:N13)=1,$F$51*O68,0)</f>
        <v>0</v>
      </c>
      <c r="P70" s="6">
        <f>-IF(SUM($E$13:O13)=1,$F$51*P68,0)</f>
        <v>0</v>
      </c>
      <c r="Q70" s="6">
        <f>-IF(SUM($E$13:P13)=1,$F$51*Q68,0)</f>
        <v>0</v>
      </c>
      <c r="R70" s="6">
        <f t="shared" si="31"/>
        <v>-446250</v>
      </c>
    </row>
    <row r="71" spans="2:18" x14ac:dyDescent="0.15">
      <c r="B71" s="233" t="s">
        <v>179</v>
      </c>
      <c r="C71" s="233" t="s">
        <v>345</v>
      </c>
      <c r="D71" s="1" t="str">
        <f t="shared" si="28"/>
        <v>Interessi Totale</v>
      </c>
      <c r="E71" s="14"/>
      <c r="F71" s="1">
        <f>SUM(F69:F70)</f>
        <v>0</v>
      </c>
      <c r="G71" s="1">
        <f t="shared" ref="G71:Q71" si="35">SUM(G69:G70)</f>
        <v>-37500</v>
      </c>
      <c r="H71" s="1">
        <f t="shared" si="35"/>
        <v>-112500</v>
      </c>
      <c r="I71" s="1">
        <f t="shared" si="35"/>
        <v>-187500</v>
      </c>
      <c r="J71" s="1">
        <f t="shared" si="35"/>
        <v>-262500</v>
      </c>
      <c r="K71" s="1">
        <f t="shared" si="35"/>
        <v>-337500</v>
      </c>
      <c r="L71" s="1">
        <f>SUM(L69:L70)</f>
        <v>-375000</v>
      </c>
      <c r="M71" s="1">
        <f t="shared" si="35"/>
        <v>-318750</v>
      </c>
      <c r="N71" s="1">
        <f t="shared" si="35"/>
        <v>-127500.00000000001</v>
      </c>
      <c r="O71" s="1">
        <f t="shared" si="35"/>
        <v>0</v>
      </c>
      <c r="P71" s="1">
        <f t="shared" si="35"/>
        <v>0</v>
      </c>
      <c r="Q71" s="1">
        <f t="shared" si="35"/>
        <v>0</v>
      </c>
      <c r="R71" s="6">
        <f t="shared" si="31"/>
        <v>-1758750</v>
      </c>
    </row>
    <row r="72" spans="2:18" x14ac:dyDescent="0.15">
      <c r="B72" s="233" t="s">
        <v>89</v>
      </c>
      <c r="C72" s="233" t="s">
        <v>346</v>
      </c>
      <c r="D72" s="1" t="str">
        <f t="shared" si="28"/>
        <v>Mancato Utilizzo</v>
      </c>
      <c r="E72" s="1"/>
      <c r="F72" s="1">
        <f>IF(SUM($E$13:E13)=0,0,IF(SUM($E$13:E13)=1,0,$F$45-F68))</f>
        <v>0</v>
      </c>
      <c r="G72" s="1">
        <f>IF(SUM($E$13:F13)=0,0,IF(SUM($E$13:F13)=1,0,$F$45-G68))</f>
        <v>0</v>
      </c>
      <c r="H72" s="1">
        <f>IF(SUM($E$13:G13)=0,0,IF(SUM($E$13:G13)=1,0,$F$45-H68))</f>
        <v>21000000</v>
      </c>
      <c r="I72" s="1">
        <f>IF(SUM($E$13:H13)=0,0,IF(SUM($E$13:H13)=1,0,$F$45-I68))</f>
        <v>15000000</v>
      </c>
      <c r="J72" s="1">
        <f>IF(SUM($E$13:I13)=0,0,IF(SUM($E$13:I13)=1,0,$F$45-J68))</f>
        <v>9000000</v>
      </c>
      <c r="K72" s="1">
        <f>IF(SUM($E$13:J13)=0,0,IF(SUM($E$13:J13)=1,0,$F$45-K68))</f>
        <v>3000000</v>
      </c>
      <c r="L72" s="1">
        <f>IF(SUM($E$13:K13)=0,0,IF(SUM($E$13:K13)=1,0,$F$45-L68))</f>
        <v>0</v>
      </c>
      <c r="M72" s="1">
        <f>IF(SUM($E$13:L13)=0,0,IF(SUM($E$13:L13)=1,0,$F$45-M68))</f>
        <v>0</v>
      </c>
      <c r="N72" s="1">
        <f>IF(SUM($E$13:M13)=0,0,IF(SUM($E$13:M13)=1,0,$F$45-N68))</f>
        <v>0</v>
      </c>
      <c r="O72" s="1">
        <f>IF(SUM($E$13:N13)=0,0,IF(SUM($E$13:N13)=1,0,$F$45-O68))</f>
        <v>0</v>
      </c>
      <c r="P72" s="1">
        <f>IF(SUM($E$13:O13)=0,0,IF(SUM($E$13:O13)=1,0,$F$45-P68))</f>
        <v>0</v>
      </c>
      <c r="Q72" s="1">
        <f>IF(SUM($E$13:P13)=0,0,IF(SUM($E$13:P13)=1,0,$F$45-Q68))</f>
        <v>0</v>
      </c>
      <c r="R72" s="6"/>
    </row>
    <row r="73" spans="2:18" x14ac:dyDescent="0.15">
      <c r="B73" s="233" t="s">
        <v>90</v>
      </c>
      <c r="C73" s="233" t="s">
        <v>347</v>
      </c>
      <c r="D73" s="1" t="str">
        <f t="shared" si="28"/>
        <v>Commissione Mancato Ut.</v>
      </c>
      <c r="E73" s="1"/>
      <c r="F73" s="1">
        <f t="shared" ref="F73:Q73" si="36">-F72*$E$60</f>
        <v>0</v>
      </c>
      <c r="G73" s="1">
        <f t="shared" si="36"/>
        <v>0</v>
      </c>
      <c r="H73" s="1">
        <f t="shared" si="36"/>
        <v>-52304.265600743529</v>
      </c>
      <c r="I73" s="1">
        <f t="shared" si="36"/>
        <v>-37360.189714816806</v>
      </c>
      <c r="J73" s="1">
        <f t="shared" si="36"/>
        <v>-22416.113828890084</v>
      </c>
      <c r="K73" s="1">
        <f t="shared" si="36"/>
        <v>-7472.0379429633613</v>
      </c>
      <c r="L73" s="1">
        <f t="shared" si="36"/>
        <v>0</v>
      </c>
      <c r="M73" s="1">
        <f t="shared" si="36"/>
        <v>0</v>
      </c>
      <c r="N73" s="1">
        <f t="shared" si="36"/>
        <v>0</v>
      </c>
      <c r="O73" s="1">
        <f t="shared" si="36"/>
        <v>0</v>
      </c>
      <c r="P73" s="1">
        <f t="shared" si="36"/>
        <v>0</v>
      </c>
      <c r="Q73" s="1">
        <f t="shared" si="36"/>
        <v>0</v>
      </c>
      <c r="R73" s="6">
        <f>SUM(E73:Q73)</f>
        <v>-119552.60708741378</v>
      </c>
    </row>
    <row r="74" spans="2:18" s="5" customFormat="1" x14ac:dyDescent="0.15">
      <c r="B74" s="235" t="s">
        <v>71</v>
      </c>
      <c r="C74" s="235" t="s">
        <v>349</v>
      </c>
      <c r="D74" s="5" t="str">
        <f t="shared" si="28"/>
        <v>Flusso Linea A1</v>
      </c>
      <c r="E74" s="5">
        <f>E64+E65+E67+E71+E73</f>
        <v>0</v>
      </c>
      <c r="F74" s="5">
        <f t="shared" ref="F74:Q74" si="37">F64+F65+F67+F71+F73</f>
        <v>0</v>
      </c>
      <c r="G74" s="5">
        <f t="shared" si="37"/>
        <v>2662500</v>
      </c>
      <c r="H74" s="5">
        <f t="shared" si="37"/>
        <v>5835195.7343992563</v>
      </c>
      <c r="I74" s="5">
        <f t="shared" si="37"/>
        <v>5775139.8102851836</v>
      </c>
      <c r="J74" s="5">
        <f t="shared" si="37"/>
        <v>5715083.88617111</v>
      </c>
      <c r="K74" s="5">
        <f t="shared" si="37"/>
        <v>5655027.9620570363</v>
      </c>
      <c r="L74" s="5">
        <f t="shared" si="37"/>
        <v>2625000</v>
      </c>
      <c r="M74" s="5">
        <f t="shared" si="37"/>
        <v>-318750</v>
      </c>
      <c r="N74" s="5">
        <f t="shared" si="37"/>
        <v>-18127500</v>
      </c>
      <c r="O74" s="5">
        <f t="shared" si="37"/>
        <v>-12000000</v>
      </c>
      <c r="P74" s="5">
        <f t="shared" si="37"/>
        <v>0</v>
      </c>
      <c r="Q74" s="5">
        <f t="shared" si="37"/>
        <v>0</v>
      </c>
      <c r="R74" s="6">
        <f t="shared" si="31"/>
        <v>-2178302.6070874147</v>
      </c>
    </row>
    <row r="75" spans="2:18" x14ac:dyDescent="0.15">
      <c r="E75" s="1"/>
      <c r="F75" s="1"/>
    </row>
    <row r="76" spans="2:18" x14ac:dyDescent="0.15">
      <c r="B76" s="235" t="s">
        <v>7</v>
      </c>
      <c r="C76" s="235" t="s">
        <v>306</v>
      </c>
      <c r="D76" s="5" t="str">
        <f t="shared" ref="D76:D84" si="38">IF($A$1=1,B76,C76)</f>
        <v>Linea IVA</v>
      </c>
      <c r="E76" s="235">
        <v>0</v>
      </c>
      <c r="F76" s="235">
        <v>1</v>
      </c>
      <c r="G76" s="235">
        <v>2</v>
      </c>
      <c r="H76" s="235">
        <v>3</v>
      </c>
      <c r="I76" s="235">
        <v>4</v>
      </c>
      <c r="J76" s="235">
        <v>5</v>
      </c>
      <c r="K76" s="235">
        <v>6</v>
      </c>
      <c r="L76" s="235">
        <v>7</v>
      </c>
      <c r="M76" s="235">
        <v>8</v>
      </c>
      <c r="N76" s="235">
        <v>9</v>
      </c>
      <c r="O76" s="235">
        <v>10</v>
      </c>
      <c r="P76" s="235">
        <v>11</v>
      </c>
      <c r="Q76" s="235">
        <v>12</v>
      </c>
      <c r="R76" s="235" t="s">
        <v>368</v>
      </c>
    </row>
    <row r="77" spans="2:18" x14ac:dyDescent="0.15">
      <c r="B77" s="236" t="s">
        <v>162</v>
      </c>
      <c r="C77" s="236" t="s">
        <v>343</v>
      </c>
      <c r="D77" s="6" t="str">
        <f t="shared" si="38"/>
        <v>Finanziamento Iniziale</v>
      </c>
      <c r="E77" s="14"/>
      <c r="F77" s="6">
        <f>E82</f>
        <v>0</v>
      </c>
      <c r="G77" s="6">
        <f>F82</f>
        <v>0</v>
      </c>
      <c r="H77" s="6">
        <f>G82</f>
        <v>300000</v>
      </c>
      <c r="I77" s="6">
        <f>H82</f>
        <v>900000</v>
      </c>
      <c r="J77" s="6">
        <f>I82</f>
        <v>1456000</v>
      </c>
      <c r="K77" s="6">
        <f t="shared" ref="K77:Q77" si="39">J82</f>
        <v>1968000</v>
      </c>
      <c r="L77" s="6">
        <f t="shared" si="39"/>
        <v>2480000</v>
      </c>
      <c r="M77" s="6">
        <f t="shared" si="39"/>
        <v>2670000</v>
      </c>
      <c r="N77" s="6">
        <f t="shared" si="39"/>
        <v>2560000</v>
      </c>
      <c r="O77" s="6">
        <f t="shared" si="39"/>
        <v>1680000</v>
      </c>
      <c r="P77" s="6">
        <f t="shared" si="39"/>
        <v>0</v>
      </c>
      <c r="Q77" s="6">
        <f t="shared" si="39"/>
        <v>0</v>
      </c>
      <c r="R77" s="6">
        <f>SUM(E77:Q77)</f>
        <v>14014000</v>
      </c>
    </row>
    <row r="78" spans="2:18" x14ac:dyDescent="0.15">
      <c r="B78" s="233" t="s">
        <v>1</v>
      </c>
      <c r="C78" s="233" t="s">
        <v>234</v>
      </c>
      <c r="D78" s="1" t="str">
        <f t="shared" si="38"/>
        <v>Erogazione</v>
      </c>
      <c r="E78" s="1"/>
      <c r="F78" s="1">
        <f>-IF(F38&lt;0,F38,0)</f>
        <v>0</v>
      </c>
      <c r="G78" s="1">
        <f t="shared" ref="G78:Q78" si="40">-IF(G38&lt;0,G38,0)</f>
        <v>300000</v>
      </c>
      <c r="H78" s="1">
        <f t="shared" si="40"/>
        <v>600000</v>
      </c>
      <c r="I78" s="1">
        <f t="shared" si="40"/>
        <v>556000</v>
      </c>
      <c r="J78" s="1">
        <f t="shared" si="40"/>
        <v>512000</v>
      </c>
      <c r="K78" s="1">
        <f t="shared" si="40"/>
        <v>512000</v>
      </c>
      <c r="L78" s="1">
        <f t="shared" si="40"/>
        <v>190000</v>
      </c>
      <c r="M78" s="1">
        <f t="shared" si="40"/>
        <v>0</v>
      </c>
      <c r="N78" s="1">
        <f t="shared" si="40"/>
        <v>0</v>
      </c>
      <c r="O78" s="1">
        <f t="shared" si="40"/>
        <v>0</v>
      </c>
      <c r="P78" s="1">
        <f t="shared" si="40"/>
        <v>0</v>
      </c>
      <c r="Q78" s="1">
        <f t="shared" si="40"/>
        <v>0</v>
      </c>
      <c r="R78" s="6">
        <f>SUM(E78:Q78)</f>
        <v>2670000</v>
      </c>
    </row>
    <row r="79" spans="2:18" x14ac:dyDescent="0.15">
      <c r="B79" s="233" t="s">
        <v>22</v>
      </c>
      <c r="C79" s="233" t="s">
        <v>22</v>
      </c>
      <c r="D79" s="1" t="str">
        <f t="shared" si="38"/>
        <v>Arrangement fee</v>
      </c>
      <c r="E79" s="1"/>
      <c r="F79" s="1">
        <f>IF(SUM($E$79:E79)=0,IF(F78=0,0,-$E$58*$H$45),0)</f>
        <v>0</v>
      </c>
      <c r="G79" s="1">
        <f>IF(SUM($E$79:F79)=0,IF(G78=0,0,-$E$58*$H$45),0)</f>
        <v>-30000</v>
      </c>
      <c r="H79" s="1">
        <f>IF(SUM($E$79:G79)=0,IF(H78=0,0,-$E$58*$H$45),0)</f>
        <v>0</v>
      </c>
      <c r="I79" s="1">
        <f>IF(SUM($E$79:H79)=0,IF(I78=0,0,-$E$58*$H$45),0)</f>
        <v>0</v>
      </c>
      <c r="J79" s="1">
        <f>IF(SUM($E$79:I79)=0,IF(J78=0,0,-$E$58*$H$45),0)</f>
        <v>0</v>
      </c>
      <c r="K79" s="1">
        <f>IF(SUM($E$79:J79)=0,IF(K78=0,0,-$E$58*$H$45),0)</f>
        <v>0</v>
      </c>
      <c r="L79" s="1">
        <f>IF(SUM($E$79:K79)=0,IF(L78=0,0,-$E$58*$H$45),0)</f>
        <v>0</v>
      </c>
      <c r="M79" s="1">
        <f>IF(SUM($E$79:L79)=0,IF(M78=0,0,-$E$58*$H$45),0)</f>
        <v>0</v>
      </c>
      <c r="N79" s="1">
        <f>IF(SUM($E$79:M79)=0,IF(N78=0,0,-$E$58*$H$45),0)</f>
        <v>0</v>
      </c>
      <c r="O79" s="1">
        <f>IF(SUM($E$79:N79)=0,IF(O78=0,0,-$E$58*$H$45),0)</f>
        <v>0</v>
      </c>
      <c r="P79" s="1">
        <f>IF(SUM($E$79:O79)=0,IF(P78=0,0,-$E$58*$H$45),0)</f>
        <v>0</v>
      </c>
      <c r="Q79" s="1">
        <f>IF(SUM($E$79:P79)=0,IF(Q78=0,0,-$E$58*$H$45),0)</f>
        <v>0</v>
      </c>
      <c r="R79" s="6">
        <f>SUM(E79:Q79)</f>
        <v>-30000</v>
      </c>
    </row>
    <row r="80" spans="2:18" x14ac:dyDescent="0.15">
      <c r="B80" s="233" t="s">
        <v>125</v>
      </c>
      <c r="C80" s="233" t="s">
        <v>192</v>
      </c>
      <c r="D80" s="1" t="str">
        <f t="shared" si="38"/>
        <v>Imposta sostitutiva</v>
      </c>
      <c r="E80" s="1"/>
      <c r="F80" s="1">
        <f t="shared" ref="F80:Q80" si="41">-$E$57*F78</f>
        <v>0</v>
      </c>
      <c r="G80" s="1">
        <f t="shared" si="41"/>
        <v>-750</v>
      </c>
      <c r="H80" s="1">
        <f t="shared" si="41"/>
        <v>-1500</v>
      </c>
      <c r="I80" s="1">
        <f t="shared" si="41"/>
        <v>-1390</v>
      </c>
      <c r="J80" s="1">
        <f t="shared" si="41"/>
        <v>-1280</v>
      </c>
      <c r="K80" s="1">
        <f t="shared" si="41"/>
        <v>-1280</v>
      </c>
      <c r="L80" s="1">
        <f t="shared" si="41"/>
        <v>-475</v>
      </c>
      <c r="M80" s="1">
        <f t="shared" si="41"/>
        <v>0</v>
      </c>
      <c r="N80" s="1">
        <f t="shared" si="41"/>
        <v>0</v>
      </c>
      <c r="O80" s="1">
        <f t="shared" si="41"/>
        <v>0</v>
      </c>
      <c r="P80" s="1">
        <f t="shared" si="41"/>
        <v>0</v>
      </c>
      <c r="Q80" s="1">
        <f t="shared" si="41"/>
        <v>0</v>
      </c>
      <c r="R80" s="6">
        <f>SUM(E80:Q80)</f>
        <v>-6675</v>
      </c>
    </row>
    <row r="81" spans="2:20" x14ac:dyDescent="0.15">
      <c r="B81" s="233" t="s">
        <v>23</v>
      </c>
      <c r="C81" s="233" t="s">
        <v>374</v>
      </c>
      <c r="D81" s="1" t="str">
        <f t="shared" si="38"/>
        <v>Rimborso</v>
      </c>
      <c r="E81" s="1"/>
      <c r="F81" s="1">
        <f t="shared" ref="F81:Q81" si="42">-IF(F38&gt;0,MIN(F77,F38),0)</f>
        <v>0</v>
      </c>
      <c r="G81" s="1">
        <f t="shared" si="42"/>
        <v>0</v>
      </c>
      <c r="H81" s="1">
        <f t="shared" si="42"/>
        <v>0</v>
      </c>
      <c r="I81" s="1">
        <f t="shared" si="42"/>
        <v>0</v>
      </c>
      <c r="J81" s="1">
        <f t="shared" si="42"/>
        <v>0</v>
      </c>
      <c r="K81" s="1">
        <f t="shared" si="42"/>
        <v>0</v>
      </c>
      <c r="L81" s="1">
        <f t="shared" si="42"/>
        <v>0</v>
      </c>
      <c r="M81" s="1">
        <f t="shared" si="42"/>
        <v>-110000</v>
      </c>
      <c r="N81" s="1">
        <f t="shared" si="42"/>
        <v>-880000</v>
      </c>
      <c r="O81" s="1">
        <f t="shared" si="42"/>
        <v>-1680000</v>
      </c>
      <c r="P81" s="1">
        <f t="shared" si="42"/>
        <v>0</v>
      </c>
      <c r="Q81" s="1">
        <f t="shared" si="42"/>
        <v>0</v>
      </c>
      <c r="R81" s="6">
        <f>SUM(E81:Q81)</f>
        <v>-2670000</v>
      </c>
    </row>
    <row r="82" spans="2:20" x14ac:dyDescent="0.15">
      <c r="B82" s="236" t="s">
        <v>163</v>
      </c>
      <c r="C82" s="236" t="s">
        <v>236</v>
      </c>
      <c r="D82" s="6" t="str">
        <f t="shared" si="38"/>
        <v>Finanziamento Finale</v>
      </c>
      <c r="E82" s="6"/>
      <c r="F82" s="6">
        <f t="shared" ref="F82:Q82" si="43">F77+F78+F81</f>
        <v>0</v>
      </c>
      <c r="G82" s="6">
        <f t="shared" si="43"/>
        <v>300000</v>
      </c>
      <c r="H82" s="6">
        <f t="shared" si="43"/>
        <v>900000</v>
      </c>
      <c r="I82" s="6">
        <f t="shared" si="43"/>
        <v>1456000</v>
      </c>
      <c r="J82" s="6">
        <f t="shared" si="43"/>
        <v>1968000</v>
      </c>
      <c r="K82" s="6">
        <f t="shared" si="43"/>
        <v>2480000</v>
      </c>
      <c r="L82" s="6">
        <f t="shared" si="43"/>
        <v>2670000</v>
      </c>
      <c r="M82" s="6">
        <f t="shared" si="43"/>
        <v>2560000</v>
      </c>
      <c r="N82" s="6">
        <f t="shared" si="43"/>
        <v>1680000</v>
      </c>
      <c r="O82" s="6">
        <f t="shared" si="43"/>
        <v>0</v>
      </c>
      <c r="P82" s="6">
        <f t="shared" si="43"/>
        <v>0</v>
      </c>
      <c r="Q82" s="6">
        <f t="shared" si="43"/>
        <v>0</v>
      </c>
      <c r="R82" s="1">
        <f>MAX(F82:Q82)</f>
        <v>2670000</v>
      </c>
    </row>
    <row r="83" spans="2:20" x14ac:dyDescent="0.15">
      <c r="B83" s="233" t="s">
        <v>24</v>
      </c>
      <c r="C83" s="236" t="s">
        <v>350</v>
      </c>
      <c r="D83" s="1" t="str">
        <f t="shared" si="38"/>
        <v>Interessi</v>
      </c>
      <c r="E83" s="14"/>
      <c r="F83" s="1">
        <f t="shared" ref="F83:Q83" si="44">-$G$51*F77</f>
        <v>0</v>
      </c>
      <c r="G83" s="1">
        <f t="shared" si="44"/>
        <v>0</v>
      </c>
      <c r="H83" s="1">
        <f t="shared" si="44"/>
        <v>-3375</v>
      </c>
      <c r="I83" s="1">
        <f t="shared" si="44"/>
        <v>-10125</v>
      </c>
      <c r="J83" s="1">
        <f t="shared" si="44"/>
        <v>-16380</v>
      </c>
      <c r="K83" s="1">
        <f t="shared" si="44"/>
        <v>-22140</v>
      </c>
      <c r="L83" s="1">
        <f t="shared" si="44"/>
        <v>-27900</v>
      </c>
      <c r="M83" s="1">
        <f t="shared" si="44"/>
        <v>-30037.5</v>
      </c>
      <c r="N83" s="1">
        <f t="shared" si="44"/>
        <v>-28800</v>
      </c>
      <c r="O83" s="1">
        <f t="shared" si="44"/>
        <v>-18900</v>
      </c>
      <c r="P83" s="1">
        <f t="shared" si="44"/>
        <v>0</v>
      </c>
      <c r="Q83" s="1">
        <f t="shared" si="44"/>
        <v>0</v>
      </c>
      <c r="R83" s="6">
        <f>SUM(E83:Q83)</f>
        <v>-157657.5</v>
      </c>
    </row>
    <row r="84" spans="2:20" x14ac:dyDescent="0.15">
      <c r="B84" s="235" t="s">
        <v>4</v>
      </c>
      <c r="C84" s="235" t="s">
        <v>351</v>
      </c>
      <c r="D84" s="5" t="str">
        <f t="shared" si="38"/>
        <v>Flusso Linea IVA</v>
      </c>
      <c r="E84" s="5">
        <f>E78+E79+E81+E83</f>
        <v>0</v>
      </c>
      <c r="F84" s="5">
        <f t="shared" ref="F84:Q84" si="45">F78+F79+F81+F83</f>
        <v>0</v>
      </c>
      <c r="G84" s="5">
        <f t="shared" si="45"/>
        <v>270000</v>
      </c>
      <c r="H84" s="5">
        <f t="shared" si="45"/>
        <v>596625</v>
      </c>
      <c r="I84" s="5">
        <f t="shared" si="45"/>
        <v>545875</v>
      </c>
      <c r="J84" s="5">
        <f t="shared" si="45"/>
        <v>495620</v>
      </c>
      <c r="K84" s="5">
        <f t="shared" si="45"/>
        <v>489860</v>
      </c>
      <c r="L84" s="5">
        <f t="shared" si="45"/>
        <v>162100</v>
      </c>
      <c r="M84" s="5">
        <f t="shared" si="45"/>
        <v>-140037.5</v>
      </c>
      <c r="N84" s="5">
        <f t="shared" si="45"/>
        <v>-908800</v>
      </c>
      <c r="O84" s="5">
        <f t="shared" si="45"/>
        <v>-1698900</v>
      </c>
      <c r="P84" s="5">
        <f t="shared" si="45"/>
        <v>0</v>
      </c>
      <c r="Q84" s="5">
        <f t="shared" si="45"/>
        <v>0</v>
      </c>
      <c r="R84" s="6">
        <f>SUM(E84:Q84)</f>
        <v>-187657.5</v>
      </c>
    </row>
    <row r="85" spans="2:20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6"/>
    </row>
    <row r="86" spans="2:20" x14ac:dyDescent="0.15">
      <c r="B86" s="235" t="s">
        <v>160</v>
      </c>
      <c r="C86" s="235" t="s">
        <v>352</v>
      </c>
      <c r="D86" s="5" t="str">
        <f t="shared" ref="D86:D91" si="46">IF($A$1=1,B86,C86)</f>
        <v>Fideiussioni</v>
      </c>
      <c r="E86" s="235">
        <v>0</v>
      </c>
      <c r="F86" s="235">
        <v>1</v>
      </c>
      <c r="G86" s="235">
        <v>2</v>
      </c>
      <c r="H86" s="235">
        <v>3</v>
      </c>
      <c r="I86" s="235">
        <v>4</v>
      </c>
      <c r="J86" s="235">
        <v>5</v>
      </c>
      <c r="K86" s="235">
        <v>6</v>
      </c>
      <c r="L86" s="235">
        <v>7</v>
      </c>
      <c r="M86" s="235">
        <v>8</v>
      </c>
      <c r="N86" s="235">
        <v>9</v>
      </c>
      <c r="O86" s="235">
        <v>10</v>
      </c>
      <c r="P86" s="235">
        <v>11</v>
      </c>
      <c r="Q86" s="235">
        <v>12</v>
      </c>
      <c r="R86" s="235" t="s">
        <v>368</v>
      </c>
    </row>
    <row r="87" spans="2:20" x14ac:dyDescent="0.15">
      <c r="B87" s="236" t="s">
        <v>171</v>
      </c>
      <c r="C87" s="236" t="s">
        <v>356</v>
      </c>
      <c r="D87" s="6" t="str">
        <f t="shared" si="46"/>
        <v>Fideiussioni Iniziale</v>
      </c>
      <c r="E87" s="14"/>
      <c r="F87" s="6">
        <f>E90</f>
        <v>0</v>
      </c>
      <c r="G87" s="6">
        <f>F90</f>
        <v>0</v>
      </c>
      <c r="H87" s="6">
        <f>G90</f>
        <v>0</v>
      </c>
      <c r="I87" s="6">
        <f t="shared" ref="I87:Q87" si="47">H90</f>
        <v>0</v>
      </c>
      <c r="J87" s="6">
        <f t="shared" si="47"/>
        <v>1100000</v>
      </c>
      <c r="K87" s="6">
        <f t="shared" si="47"/>
        <v>3300000</v>
      </c>
      <c r="L87" s="6">
        <f t="shared" si="47"/>
        <v>5500000</v>
      </c>
      <c r="M87" s="6">
        <f t="shared" si="47"/>
        <v>8250000</v>
      </c>
      <c r="N87" s="6">
        <f t="shared" si="47"/>
        <v>11000000</v>
      </c>
      <c r="O87" s="6">
        <f t="shared" si="47"/>
        <v>5500000</v>
      </c>
      <c r="P87" s="6">
        <f t="shared" si="47"/>
        <v>0</v>
      </c>
      <c r="Q87" s="6">
        <f t="shared" si="47"/>
        <v>0</v>
      </c>
      <c r="R87" s="6">
        <f>MAX(F87:Q87)</f>
        <v>11000000</v>
      </c>
    </row>
    <row r="88" spans="2:20" x14ac:dyDescent="0.15">
      <c r="B88" s="233" t="s">
        <v>160</v>
      </c>
      <c r="C88" s="233" t="s">
        <v>353</v>
      </c>
      <c r="D88" s="1" t="str">
        <f t="shared" si="46"/>
        <v>Fideiussioni</v>
      </c>
      <c r="E88" s="1">
        <f t="shared" ref="E88:Q88" si="48">E20</f>
        <v>0</v>
      </c>
      <c r="F88" s="1">
        <f t="shared" si="48"/>
        <v>0</v>
      </c>
      <c r="G88" s="1">
        <f t="shared" si="48"/>
        <v>0</v>
      </c>
      <c r="H88" s="1">
        <f t="shared" si="48"/>
        <v>0</v>
      </c>
      <c r="I88" s="1">
        <f t="shared" si="48"/>
        <v>1100000</v>
      </c>
      <c r="J88" s="1">
        <f t="shared" si="48"/>
        <v>2200000</v>
      </c>
      <c r="K88" s="1">
        <f t="shared" si="48"/>
        <v>2200000</v>
      </c>
      <c r="L88" s="1">
        <f t="shared" si="48"/>
        <v>2750000</v>
      </c>
      <c r="M88" s="1">
        <f t="shared" si="48"/>
        <v>2750000</v>
      </c>
      <c r="N88" s="1">
        <f t="shared" si="48"/>
        <v>0</v>
      </c>
      <c r="O88" s="1">
        <f t="shared" si="48"/>
        <v>0</v>
      </c>
      <c r="P88" s="1">
        <f t="shared" si="48"/>
        <v>0</v>
      </c>
      <c r="Q88" s="1">
        <f t="shared" si="48"/>
        <v>0</v>
      </c>
      <c r="R88" s="12">
        <f>SUM(E88:Q88)</f>
        <v>11000000</v>
      </c>
    </row>
    <row r="89" spans="2:20" x14ac:dyDescent="0.15">
      <c r="B89" s="233" t="s">
        <v>105</v>
      </c>
      <c r="C89" s="233" t="s">
        <v>354</v>
      </c>
      <c r="D89" s="1" t="str">
        <f t="shared" si="46"/>
        <v>Scadenza</v>
      </c>
      <c r="E89" s="1">
        <f t="shared" ref="E89:Q89" si="49">-$J$45*E15</f>
        <v>0</v>
      </c>
      <c r="F89" s="1">
        <f t="shared" si="49"/>
        <v>0</v>
      </c>
      <c r="G89" s="1">
        <f t="shared" si="49"/>
        <v>0</v>
      </c>
      <c r="H89" s="1">
        <f t="shared" si="49"/>
        <v>0</v>
      </c>
      <c r="I89" s="1">
        <f t="shared" si="49"/>
        <v>0</v>
      </c>
      <c r="J89" s="1">
        <f t="shared" si="49"/>
        <v>0</v>
      </c>
      <c r="K89" s="1">
        <f t="shared" si="49"/>
        <v>0</v>
      </c>
      <c r="L89" s="1">
        <f t="shared" si="49"/>
        <v>0</v>
      </c>
      <c r="M89" s="1">
        <f t="shared" si="49"/>
        <v>0</v>
      </c>
      <c r="N89" s="1">
        <f t="shared" si="49"/>
        <v>-5500000</v>
      </c>
      <c r="O89" s="1">
        <f t="shared" si="49"/>
        <v>-5500000</v>
      </c>
      <c r="P89" s="1">
        <f t="shared" si="49"/>
        <v>0</v>
      </c>
      <c r="Q89" s="1">
        <f t="shared" si="49"/>
        <v>0</v>
      </c>
      <c r="R89" s="12">
        <f>SUM(E89:Q89)</f>
        <v>-11000000</v>
      </c>
    </row>
    <row r="90" spans="2:20" x14ac:dyDescent="0.15">
      <c r="B90" s="236" t="s">
        <v>173</v>
      </c>
      <c r="C90" s="236" t="s">
        <v>355</v>
      </c>
      <c r="D90" s="6" t="str">
        <f t="shared" si="46"/>
        <v>Fideiussioni Finale</v>
      </c>
      <c r="E90" s="6">
        <f t="shared" ref="E90:M90" si="50">E87+E88+E89</f>
        <v>0</v>
      </c>
      <c r="F90" s="6">
        <f t="shared" si="50"/>
        <v>0</v>
      </c>
      <c r="G90" s="6">
        <f t="shared" si="50"/>
        <v>0</v>
      </c>
      <c r="H90" s="6">
        <f t="shared" si="50"/>
        <v>0</v>
      </c>
      <c r="I90" s="6">
        <f t="shared" si="50"/>
        <v>1100000</v>
      </c>
      <c r="J90" s="6">
        <f t="shared" si="50"/>
        <v>3300000</v>
      </c>
      <c r="K90" s="6">
        <f t="shared" si="50"/>
        <v>5500000</v>
      </c>
      <c r="L90" s="6">
        <f t="shared" si="50"/>
        <v>8250000</v>
      </c>
      <c r="M90" s="6">
        <f t="shared" si="50"/>
        <v>11000000</v>
      </c>
      <c r="N90" s="6">
        <f>N87+N88+N89</f>
        <v>5500000</v>
      </c>
      <c r="O90" s="6">
        <f>O87+O88+O89</f>
        <v>0</v>
      </c>
      <c r="P90" s="6">
        <f>P87+P88+P89</f>
        <v>0</v>
      </c>
      <c r="Q90" s="6">
        <f>Q87+Q88+Q89</f>
        <v>0</v>
      </c>
      <c r="R90" s="12"/>
    </row>
    <row r="91" spans="2:20" x14ac:dyDescent="0.15">
      <c r="B91" s="233" t="s">
        <v>104</v>
      </c>
      <c r="C91" s="233" t="s">
        <v>357</v>
      </c>
      <c r="D91" s="1" t="str">
        <f t="shared" si="46"/>
        <v xml:space="preserve">Costo </v>
      </c>
      <c r="E91" s="14"/>
      <c r="F91" s="1">
        <f t="shared" ref="F91:Q91" si="51">-$H$51*F90</f>
        <v>0</v>
      </c>
      <c r="G91" s="1">
        <f t="shared" si="51"/>
        <v>0</v>
      </c>
      <c r="H91" s="1">
        <f t="shared" si="51"/>
        <v>0</v>
      </c>
      <c r="I91" s="1">
        <f t="shared" si="51"/>
        <v>-2750</v>
      </c>
      <c r="J91" s="1">
        <f t="shared" si="51"/>
        <v>-8250</v>
      </c>
      <c r="K91" s="1">
        <f t="shared" si="51"/>
        <v>-13750</v>
      </c>
      <c r="L91" s="1">
        <f t="shared" si="51"/>
        <v>-20625</v>
      </c>
      <c r="M91" s="1">
        <f t="shared" si="51"/>
        <v>-27500</v>
      </c>
      <c r="N91" s="1">
        <f t="shared" si="51"/>
        <v>-13750</v>
      </c>
      <c r="O91" s="1">
        <f t="shared" si="51"/>
        <v>0</v>
      </c>
      <c r="P91" s="1">
        <f t="shared" si="51"/>
        <v>0</v>
      </c>
      <c r="Q91" s="1">
        <f t="shared" si="51"/>
        <v>0</v>
      </c>
      <c r="R91" s="12">
        <f>SUM(E91:Q91)</f>
        <v>-86625</v>
      </c>
    </row>
    <row r="92" spans="2:20" s="5" customFormat="1" x14ac:dyDescent="0.15">
      <c r="R92" s="12"/>
    </row>
    <row r="93" spans="2:20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6"/>
    </row>
    <row r="94" spans="2:20" x14ac:dyDescent="0.15">
      <c r="B94" s="235" t="s">
        <v>95</v>
      </c>
      <c r="C94" s="235" t="s">
        <v>217</v>
      </c>
      <c r="D94" s="5" t="str">
        <f t="shared" ref="D94:D106" si="52">IF($A$1=1,B94,C94)</f>
        <v>FLUSSI</v>
      </c>
      <c r="E94" s="235">
        <v>0</v>
      </c>
      <c r="F94" s="235">
        <v>1</v>
      </c>
      <c r="G94" s="235">
        <v>2</v>
      </c>
      <c r="H94" s="235">
        <v>3</v>
      </c>
      <c r="I94" s="235">
        <v>4</v>
      </c>
      <c r="J94" s="235">
        <v>5</v>
      </c>
      <c r="K94" s="235">
        <v>6</v>
      </c>
      <c r="L94" s="235">
        <v>7</v>
      </c>
      <c r="M94" s="235">
        <v>8</v>
      </c>
      <c r="N94" s="235">
        <v>9</v>
      </c>
      <c r="O94" s="235">
        <v>10</v>
      </c>
      <c r="P94" s="235">
        <v>11</v>
      </c>
      <c r="Q94" s="235">
        <v>12</v>
      </c>
      <c r="R94" s="235" t="s">
        <v>368</v>
      </c>
      <c r="S94" s="235" t="s">
        <v>369</v>
      </c>
      <c r="T94" s="235" t="s">
        <v>370</v>
      </c>
    </row>
    <row r="95" spans="2:20" x14ac:dyDescent="0.15">
      <c r="B95" s="233" t="s">
        <v>29</v>
      </c>
      <c r="C95" s="233" t="s">
        <v>309</v>
      </c>
      <c r="D95" s="1" t="str">
        <f t="shared" si="52"/>
        <v>Flusso Immobiliare</v>
      </c>
      <c r="E95" s="1">
        <f>E22</f>
        <v>-12000000</v>
      </c>
      <c r="F95" s="1">
        <f t="shared" ref="F95:Q95" si="53">F22</f>
        <v>0</v>
      </c>
      <c r="G95" s="1">
        <f t="shared" si="53"/>
        <v>-3000000</v>
      </c>
      <c r="H95" s="1">
        <f t="shared" si="53"/>
        <v>-6000000</v>
      </c>
      <c r="I95" s="1">
        <f t="shared" si="53"/>
        <v>-4900000</v>
      </c>
      <c r="J95" s="1">
        <f t="shared" si="53"/>
        <v>-3800000</v>
      </c>
      <c r="K95" s="1">
        <f t="shared" si="53"/>
        <v>-3800000</v>
      </c>
      <c r="L95" s="1">
        <f t="shared" si="53"/>
        <v>-250000</v>
      </c>
      <c r="M95" s="1">
        <f t="shared" si="53"/>
        <v>2750000</v>
      </c>
      <c r="N95" s="1">
        <f t="shared" si="53"/>
        <v>22000000</v>
      </c>
      <c r="O95" s="1">
        <f t="shared" si="53"/>
        <v>22000000</v>
      </c>
      <c r="P95" s="1">
        <f t="shared" si="53"/>
        <v>0</v>
      </c>
      <c r="Q95" s="1">
        <f t="shared" si="53"/>
        <v>0</v>
      </c>
      <c r="R95" s="6">
        <f t="shared" ref="R95:R100" si="54">SUM(E95:Q95)</f>
        <v>13000000</v>
      </c>
      <c r="S95" s="8">
        <f>IRR(E95:Q95)</f>
        <v>4.8110215519150401E-2</v>
      </c>
      <c r="T95" s="8">
        <f t="shared" ref="T95:T100" si="55">(1+S95)^4-1</f>
        <v>0.20677919868136496</v>
      </c>
    </row>
    <row r="96" spans="2:20" x14ac:dyDescent="0.15">
      <c r="B96" s="233" t="s">
        <v>36</v>
      </c>
      <c r="C96" s="233" t="s">
        <v>295</v>
      </c>
      <c r="D96" s="1" t="str">
        <f t="shared" si="52"/>
        <v>Flusso Operativo con IVA</v>
      </c>
      <c r="E96" s="1">
        <f>E39</f>
        <v>-12000000</v>
      </c>
      <c r="F96" s="1">
        <f t="shared" ref="F96:Q96" si="56">F39</f>
        <v>0</v>
      </c>
      <c r="G96" s="1">
        <f t="shared" si="56"/>
        <v>-3300000</v>
      </c>
      <c r="H96" s="1">
        <f t="shared" si="56"/>
        <v>-6600000</v>
      </c>
      <c r="I96" s="1">
        <f t="shared" si="56"/>
        <v>-5456000</v>
      </c>
      <c r="J96" s="1">
        <f t="shared" si="56"/>
        <v>-4312000</v>
      </c>
      <c r="K96" s="1">
        <f t="shared" si="56"/>
        <v>-4312000</v>
      </c>
      <c r="L96" s="1">
        <f t="shared" si="56"/>
        <v>-440000</v>
      </c>
      <c r="M96" s="1">
        <f t="shared" si="56"/>
        <v>2860000</v>
      </c>
      <c r="N96" s="1">
        <f t="shared" si="56"/>
        <v>22880000</v>
      </c>
      <c r="O96" s="1">
        <f t="shared" si="56"/>
        <v>23680000</v>
      </c>
      <c r="P96" s="1">
        <f t="shared" si="56"/>
        <v>0</v>
      </c>
      <c r="Q96" s="1">
        <f t="shared" si="56"/>
        <v>0</v>
      </c>
      <c r="R96" s="6">
        <f t="shared" si="54"/>
        <v>13000000</v>
      </c>
      <c r="S96" s="8">
        <f>IRR(E96:Q96)</f>
        <v>4.5836601625219409E-2</v>
      </c>
      <c r="T96" s="8">
        <f t="shared" si="55"/>
        <v>0.19634199467704527</v>
      </c>
    </row>
    <row r="97" spans="2:20" s="5" customFormat="1" x14ac:dyDescent="0.15">
      <c r="B97" s="233" t="s">
        <v>113</v>
      </c>
      <c r="C97" s="233" t="s">
        <v>358</v>
      </c>
      <c r="D97" s="1" t="str">
        <f t="shared" si="52"/>
        <v>Flusso Linea Costruzione</v>
      </c>
      <c r="E97" s="1">
        <f>E74</f>
        <v>0</v>
      </c>
      <c r="F97" s="1">
        <f t="shared" ref="F97:Q97" si="57">F74</f>
        <v>0</v>
      </c>
      <c r="G97" s="1">
        <f>G74</f>
        <v>2662500</v>
      </c>
      <c r="H97" s="1">
        <f t="shared" si="57"/>
        <v>5835195.7343992563</v>
      </c>
      <c r="I97" s="1">
        <f t="shared" si="57"/>
        <v>5775139.8102851836</v>
      </c>
      <c r="J97" s="1">
        <f t="shared" si="57"/>
        <v>5715083.88617111</v>
      </c>
      <c r="K97" s="1">
        <f t="shared" si="57"/>
        <v>5655027.9620570363</v>
      </c>
      <c r="L97" s="1">
        <f t="shared" si="57"/>
        <v>2625000</v>
      </c>
      <c r="M97" s="1">
        <f t="shared" si="57"/>
        <v>-318750</v>
      </c>
      <c r="N97" s="1">
        <f t="shared" si="57"/>
        <v>-18127500</v>
      </c>
      <c r="O97" s="1">
        <f t="shared" si="57"/>
        <v>-12000000</v>
      </c>
      <c r="P97" s="1">
        <f t="shared" si="57"/>
        <v>0</v>
      </c>
      <c r="Q97" s="1">
        <f t="shared" si="57"/>
        <v>0</v>
      </c>
      <c r="R97" s="6">
        <f t="shared" si="54"/>
        <v>-2178302.6070874147</v>
      </c>
      <c r="S97" s="8">
        <f>IRR(E97:Q97)</f>
        <v>1.5227081928576469E-2</v>
      </c>
      <c r="T97" s="8">
        <f t="shared" si="55"/>
        <v>6.2313688069551398E-2</v>
      </c>
    </row>
    <row r="98" spans="2:20" x14ac:dyDescent="0.15">
      <c r="B98" s="233" t="s">
        <v>4</v>
      </c>
      <c r="C98" s="233" t="s">
        <v>351</v>
      </c>
      <c r="D98" s="1" t="str">
        <f t="shared" si="52"/>
        <v>Flusso Linea IVA</v>
      </c>
      <c r="E98" s="1">
        <f t="shared" ref="E98:Q98" si="58">E84</f>
        <v>0</v>
      </c>
      <c r="F98" s="1">
        <f t="shared" si="58"/>
        <v>0</v>
      </c>
      <c r="G98" s="1">
        <f t="shared" si="58"/>
        <v>270000</v>
      </c>
      <c r="H98" s="1">
        <f t="shared" si="58"/>
        <v>596625</v>
      </c>
      <c r="I98" s="1">
        <f t="shared" si="58"/>
        <v>545875</v>
      </c>
      <c r="J98" s="1">
        <f t="shared" si="58"/>
        <v>495620</v>
      </c>
      <c r="K98" s="1">
        <f t="shared" si="58"/>
        <v>489860</v>
      </c>
      <c r="L98" s="1">
        <f t="shared" si="58"/>
        <v>162100</v>
      </c>
      <c r="M98" s="1">
        <f t="shared" si="58"/>
        <v>-140037.5</v>
      </c>
      <c r="N98" s="1">
        <f t="shared" si="58"/>
        <v>-908800</v>
      </c>
      <c r="O98" s="1">
        <f t="shared" si="58"/>
        <v>-1698900</v>
      </c>
      <c r="P98" s="1">
        <f t="shared" si="58"/>
        <v>0</v>
      </c>
      <c r="Q98" s="1">
        <f t="shared" si="58"/>
        <v>0</v>
      </c>
      <c r="R98" s="6">
        <f t="shared" si="54"/>
        <v>-187657.5</v>
      </c>
      <c r="S98" s="8">
        <f>IRR(E98:Q98)</f>
        <v>1.3547924528890087E-2</v>
      </c>
      <c r="T98" s="8">
        <f t="shared" si="55"/>
        <v>5.530295604249269E-2</v>
      </c>
    </row>
    <row r="99" spans="2:20" x14ac:dyDescent="0.15">
      <c r="B99" s="233" t="s">
        <v>161</v>
      </c>
      <c r="C99" s="233" t="s">
        <v>359</v>
      </c>
      <c r="D99" s="1" t="str">
        <f t="shared" si="52"/>
        <v>Flusso Linea Fideiussioni</v>
      </c>
      <c r="E99" s="1">
        <f>E91</f>
        <v>0</v>
      </c>
      <c r="F99" s="1">
        <f t="shared" ref="F99:Q99" si="59">F91</f>
        <v>0</v>
      </c>
      <c r="G99" s="1">
        <f t="shared" si="59"/>
        <v>0</v>
      </c>
      <c r="H99" s="1">
        <f t="shared" si="59"/>
        <v>0</v>
      </c>
      <c r="I99" s="1">
        <f t="shared" si="59"/>
        <v>-2750</v>
      </c>
      <c r="J99" s="1">
        <f t="shared" si="59"/>
        <v>-8250</v>
      </c>
      <c r="K99" s="1">
        <f t="shared" si="59"/>
        <v>-13750</v>
      </c>
      <c r="L99" s="1">
        <f t="shared" si="59"/>
        <v>-20625</v>
      </c>
      <c r="M99" s="1">
        <f t="shared" si="59"/>
        <v>-27500</v>
      </c>
      <c r="N99" s="1">
        <f t="shared" si="59"/>
        <v>-13750</v>
      </c>
      <c r="O99" s="1">
        <f t="shared" si="59"/>
        <v>0</v>
      </c>
      <c r="P99" s="1">
        <f t="shared" si="59"/>
        <v>0</v>
      </c>
      <c r="Q99" s="1">
        <f t="shared" si="59"/>
        <v>0</v>
      </c>
      <c r="R99" s="6">
        <f>SUM(E99:Q99)</f>
        <v>-86625</v>
      </c>
      <c r="S99" s="8"/>
      <c r="T99" s="8"/>
    </row>
    <row r="100" spans="2:20" x14ac:dyDescent="0.15">
      <c r="B100" s="235" t="s">
        <v>148</v>
      </c>
      <c r="C100" s="235" t="s">
        <v>360</v>
      </c>
      <c r="D100" s="5" t="str">
        <f t="shared" si="52"/>
        <v>Flusso Levered pre vincolo</v>
      </c>
      <c r="E100" s="5">
        <f>SUM(E96:E99)</f>
        <v>-12000000</v>
      </c>
      <c r="F100" s="5">
        <f t="shared" ref="F100:Q100" si="60">SUM(F96:F99)</f>
        <v>0</v>
      </c>
      <c r="G100" s="5">
        <f t="shared" si="60"/>
        <v>-367500</v>
      </c>
      <c r="H100" s="5">
        <f t="shared" si="60"/>
        <v>-168179.2656007437</v>
      </c>
      <c r="I100" s="5">
        <f t="shared" si="60"/>
        <v>862264.8102851836</v>
      </c>
      <c r="J100" s="5">
        <f t="shared" si="60"/>
        <v>1890453.88617111</v>
      </c>
      <c r="K100" s="5">
        <f t="shared" si="60"/>
        <v>1819137.9620570363</v>
      </c>
      <c r="L100" s="5">
        <f t="shared" si="60"/>
        <v>2326475</v>
      </c>
      <c r="M100" s="5">
        <f t="shared" si="60"/>
        <v>2373712.5</v>
      </c>
      <c r="N100" s="5">
        <f t="shared" si="60"/>
        <v>3829950</v>
      </c>
      <c r="O100" s="5">
        <f t="shared" si="60"/>
        <v>9981100</v>
      </c>
      <c r="P100" s="5">
        <f t="shared" si="60"/>
        <v>0</v>
      </c>
      <c r="Q100" s="5">
        <f t="shared" si="60"/>
        <v>0</v>
      </c>
      <c r="R100" s="6">
        <f t="shared" si="54"/>
        <v>10547414.892912585</v>
      </c>
      <c r="S100" s="8">
        <f>IRR(E100:Q100)</f>
        <v>7.7788441816998066E-2</v>
      </c>
      <c r="T100" s="8">
        <f t="shared" si="55"/>
        <v>0.34937943687003448</v>
      </c>
    </row>
    <row r="101" spans="2:20" x14ac:dyDescent="0.15">
      <c r="B101" s="236" t="s">
        <v>169</v>
      </c>
      <c r="C101" s="236" t="s">
        <v>361</v>
      </c>
      <c r="D101" s="6" t="str">
        <f t="shared" si="52"/>
        <v>Conto vincolato Iniziale</v>
      </c>
      <c r="E101" s="14"/>
      <c r="F101" s="6">
        <f t="shared" ref="F101:Q101" si="61">E105</f>
        <v>0</v>
      </c>
      <c r="G101" s="6">
        <f t="shared" si="61"/>
        <v>0</v>
      </c>
      <c r="H101" s="6">
        <f t="shared" si="61"/>
        <v>0</v>
      </c>
      <c r="I101" s="6">
        <f t="shared" si="61"/>
        <v>0</v>
      </c>
      <c r="J101" s="6">
        <f t="shared" si="61"/>
        <v>862264.8102851836</v>
      </c>
      <c r="K101" s="6">
        <f t="shared" si="61"/>
        <v>2758058.0525595071</v>
      </c>
      <c r="L101" s="6">
        <f t="shared" si="61"/>
        <v>4594274.5894583957</v>
      </c>
      <c r="M101" s="6">
        <f t="shared" si="61"/>
        <v>6949198.4694039328</v>
      </c>
      <c r="N101" s="6">
        <f t="shared" si="61"/>
        <v>9365942.1180922166</v>
      </c>
      <c r="O101" s="6">
        <f t="shared" si="61"/>
        <v>13253888.338759093</v>
      </c>
      <c r="P101" s="6">
        <f t="shared" si="61"/>
        <v>6.9849193096160889E-10</v>
      </c>
      <c r="Q101" s="6">
        <f t="shared" si="61"/>
        <v>-5.169878828456423E-26</v>
      </c>
      <c r="R101" s="6">
        <f>SUM(E101:Q101)</f>
        <v>37783626.37855833</v>
      </c>
    </row>
    <row r="102" spans="2:20" x14ac:dyDescent="0.15">
      <c r="B102" s="233" t="s">
        <v>146</v>
      </c>
      <c r="C102" s="233" t="s">
        <v>362</v>
      </c>
      <c r="D102" s="1" t="str">
        <f t="shared" si="52"/>
        <v>Versamento</v>
      </c>
      <c r="E102" s="1"/>
      <c r="F102" s="1">
        <f>IF(SUM($E$15:F$15)=1,0,MAX(0,F100))</f>
        <v>0</v>
      </c>
      <c r="G102" s="1">
        <f>IF(SUM($E$15:G$15)=1,0,MAX(0,G100))</f>
        <v>0</v>
      </c>
      <c r="H102" s="1">
        <f>IF(SUM($E$15:H$15)=1,0,MAX(0,H100))</f>
        <v>0</v>
      </c>
      <c r="I102" s="1">
        <f>IF(SUM($E$15:I$15)=1,0,MAX(0,I100))</f>
        <v>862264.8102851836</v>
      </c>
      <c r="J102" s="1">
        <f>IF(SUM($E$15:J$15)=1,0,MAX(0,J100))</f>
        <v>1890453.88617111</v>
      </c>
      <c r="K102" s="1">
        <f>IF(SUM($E$15:K$15)=1,0,MAX(0,K100))</f>
        <v>1819137.9620570363</v>
      </c>
      <c r="L102" s="1">
        <f>IF(SUM($E$15:L$15)=1,0,MAX(0,L100))</f>
        <v>2326475</v>
      </c>
      <c r="M102" s="1">
        <f>IF(SUM($E$15:M$15)=1,0,MAX(0,M100))</f>
        <v>2373712.5</v>
      </c>
      <c r="N102" s="1">
        <f>IF(SUM($E$15:N$15)=1,0,MAX(0,N100))</f>
        <v>3829950</v>
      </c>
      <c r="O102" s="1">
        <f>IF(SUM($E$15:O$15)=1,0,MAX(0,O100))</f>
        <v>0</v>
      </c>
      <c r="P102" s="1">
        <f>IF(SUM($E$15:P$15)=1,0,MAX(0,P100))</f>
        <v>0</v>
      </c>
      <c r="Q102" s="1">
        <f>IF(SUM($E$15:Q$15)=1,0,MAX(0,Q100))</f>
        <v>0</v>
      </c>
      <c r="R102" s="6">
        <f>SUM(E102:Q102)</f>
        <v>13101994.15851333</v>
      </c>
    </row>
    <row r="103" spans="2:20" x14ac:dyDescent="0.15">
      <c r="B103" s="233" t="s">
        <v>24</v>
      </c>
      <c r="C103" s="233" t="s">
        <v>270</v>
      </c>
      <c r="D103" s="1" t="str">
        <f t="shared" si="52"/>
        <v>Interessi</v>
      </c>
      <c r="E103" s="14"/>
      <c r="F103" s="1">
        <f t="shared" ref="F103:Q103" si="62">((1+$E$49)^(1/4)-1)*F101</f>
        <v>0</v>
      </c>
      <c r="G103" s="1">
        <f t="shared" si="62"/>
        <v>0</v>
      </c>
      <c r="H103" s="1">
        <f t="shared" si="62"/>
        <v>0</v>
      </c>
      <c r="I103" s="1">
        <f t="shared" si="62"/>
        <v>0</v>
      </c>
      <c r="J103" s="1">
        <f t="shared" si="62"/>
        <v>5339.356103213725</v>
      </c>
      <c r="K103" s="1">
        <f t="shared" si="62"/>
        <v>17078.574841852627</v>
      </c>
      <c r="L103" s="1">
        <f t="shared" si="62"/>
        <v>28448.879945536988</v>
      </c>
      <c r="M103" s="1">
        <f t="shared" si="62"/>
        <v>43031.148688282417</v>
      </c>
      <c r="N103" s="1">
        <f t="shared" si="62"/>
        <v>57996.22066687679</v>
      </c>
      <c r="O103" s="1">
        <f t="shared" si="62"/>
        <v>82071.341366071953</v>
      </c>
      <c r="P103" s="1">
        <f t="shared" si="62"/>
        <v>4.3252340929834773E-12</v>
      </c>
      <c r="Q103" s="1">
        <f t="shared" si="62"/>
        <v>-3.2013163179493078E-28</v>
      </c>
      <c r="R103" s="6">
        <f>SUM(E103:Q103)</f>
        <v>233965.5216118345</v>
      </c>
    </row>
    <row r="104" spans="2:20" x14ac:dyDescent="0.15">
      <c r="B104" s="233" t="s">
        <v>147</v>
      </c>
      <c r="C104" s="233" t="s">
        <v>234</v>
      </c>
      <c r="D104" s="1" t="str">
        <f t="shared" si="52"/>
        <v>Prelievo</v>
      </c>
      <c r="E104" s="1">
        <f>IF(SUM($E$15:E$15)=1,E101+E102+E103,0)</f>
        <v>0</v>
      </c>
      <c r="F104" s="1">
        <f>IF(SUM($E$15:F$15)=1,F101+F102+F103,0)</f>
        <v>0</v>
      </c>
      <c r="G104" s="1">
        <f>IF(SUM($E$15:G$15)=1,G101+G102+G103,0)</f>
        <v>0</v>
      </c>
      <c r="H104" s="1">
        <f>IF(SUM($E$15:H$15)=1,H101+H102+H103,0)</f>
        <v>0</v>
      </c>
      <c r="I104" s="1">
        <f>IF(SUM($E$15:I$15)=1,I101+I102+I103,0)</f>
        <v>0</v>
      </c>
      <c r="J104" s="1">
        <f>IF(SUM($E$15:J$15)=1,J101+J102+J103,0)</f>
        <v>0</v>
      </c>
      <c r="K104" s="1">
        <f>IF(SUM($E$15:K$15)=1,K101+K102+K103,0)</f>
        <v>0</v>
      </c>
      <c r="L104" s="1">
        <f>IF(SUM($E$15:L$15)=1,L101+L102+L103,0)</f>
        <v>0</v>
      </c>
      <c r="M104" s="1">
        <f>IF(SUM($E$15:M$15)=1,M101+M102+M103,0)</f>
        <v>0</v>
      </c>
      <c r="N104" s="1">
        <f>IF(SUM($E$15:N$15)=1,N101+N102+N103,0)</f>
        <v>0</v>
      </c>
      <c r="O104" s="1">
        <f>IF(SUM($E$15:O$15)=1,O101+O102+O103,0)</f>
        <v>13335959.680125164</v>
      </c>
      <c r="P104" s="1">
        <f>IF(SUM($E$15:P$15)=1,P101+P102+P103,0)</f>
        <v>7.0281716505459242E-10</v>
      </c>
      <c r="Q104" s="1">
        <f>IF(SUM($E$15:Q$15)=1,Q101+Q102+Q103,0)</f>
        <v>-5.201891991635916E-26</v>
      </c>
      <c r="R104" s="6">
        <f>SUM(E104:Q104)</f>
        <v>13335959.680125164</v>
      </c>
    </row>
    <row r="105" spans="2:20" x14ac:dyDescent="0.15">
      <c r="B105" s="236" t="s">
        <v>170</v>
      </c>
      <c r="C105" s="236" t="s">
        <v>363</v>
      </c>
      <c r="D105" s="6" t="str">
        <f t="shared" si="52"/>
        <v>Conto vincolato Finale</v>
      </c>
      <c r="E105" s="6">
        <f t="shared" ref="E105:Q105" si="63">E101+E102-E104+E103</f>
        <v>0</v>
      </c>
      <c r="F105" s="6">
        <f t="shared" si="63"/>
        <v>0</v>
      </c>
      <c r="G105" s="6">
        <f t="shared" si="63"/>
        <v>0</v>
      </c>
      <c r="H105" s="6">
        <f t="shared" si="63"/>
        <v>0</v>
      </c>
      <c r="I105" s="6">
        <f t="shared" si="63"/>
        <v>862264.8102851836</v>
      </c>
      <c r="J105" s="6">
        <f t="shared" si="63"/>
        <v>2758058.0525595071</v>
      </c>
      <c r="K105" s="6">
        <f t="shared" si="63"/>
        <v>4594274.5894583957</v>
      </c>
      <c r="L105" s="6">
        <f t="shared" si="63"/>
        <v>6949198.4694039328</v>
      </c>
      <c r="M105" s="6">
        <f t="shared" si="63"/>
        <v>9365942.1180922166</v>
      </c>
      <c r="N105" s="6">
        <f t="shared" si="63"/>
        <v>13253888.338759093</v>
      </c>
      <c r="O105" s="6">
        <f t="shared" si="63"/>
        <v>6.9849193096160889E-10</v>
      </c>
      <c r="P105" s="6">
        <f t="shared" si="63"/>
        <v>-5.169878828456423E-26</v>
      </c>
      <c r="Q105" s="6">
        <f t="shared" si="63"/>
        <v>0</v>
      </c>
      <c r="R105" s="1">
        <f>MAX(F105:Q105)</f>
        <v>13253888.338759093</v>
      </c>
    </row>
    <row r="106" spans="2:20" x14ac:dyDescent="0.15">
      <c r="B106" s="235" t="s">
        <v>149</v>
      </c>
      <c r="C106" s="235" t="s">
        <v>364</v>
      </c>
      <c r="D106" s="5" t="str">
        <f t="shared" si="52"/>
        <v>Flusso Levered Libero Azionista</v>
      </c>
      <c r="E106" s="5">
        <f>IF(E100&lt;0,E100,0)+E104</f>
        <v>-12000000</v>
      </c>
      <c r="F106" s="5">
        <f t="shared" ref="F106:K106" si="64">IF(F100&lt;0,F100,0)+F104+IF(F68=0,F100,0)</f>
        <v>0</v>
      </c>
      <c r="G106" s="5">
        <f t="shared" si="64"/>
        <v>-367500</v>
      </c>
      <c r="H106" s="5">
        <f t="shared" si="64"/>
        <v>-168179.2656007437</v>
      </c>
      <c r="I106" s="5">
        <f t="shared" si="64"/>
        <v>0</v>
      </c>
      <c r="J106" s="5">
        <f t="shared" si="64"/>
        <v>0</v>
      </c>
      <c r="K106" s="5">
        <f t="shared" si="64"/>
        <v>0</v>
      </c>
      <c r="L106" s="5">
        <f t="shared" ref="L106:Q106" si="65">IF(L100&lt;0,L100,0)+L104+IF(L68=0,L100,0)</f>
        <v>0</v>
      </c>
      <c r="M106" s="5">
        <f t="shared" si="65"/>
        <v>0</v>
      </c>
      <c r="N106" s="5">
        <f t="shared" si="65"/>
        <v>0</v>
      </c>
      <c r="O106" s="5">
        <f t="shared" si="65"/>
        <v>23317059.680125162</v>
      </c>
      <c r="P106" s="5">
        <f t="shared" si="65"/>
        <v>7.0281716505459242E-10</v>
      </c>
      <c r="Q106" s="5">
        <f t="shared" si="65"/>
        <v>-5.201891991635916E-26</v>
      </c>
      <c r="R106" s="6">
        <f>SUM(E106:Q106)</f>
        <v>10781380.414524417</v>
      </c>
      <c r="S106" s="8">
        <f>IRR(E106:Q106)</f>
        <v>6.4640639053927806E-2</v>
      </c>
      <c r="T106" s="8">
        <f>(1+S106)^4-1</f>
        <v>0.28473086959199789</v>
      </c>
    </row>
    <row r="108" spans="2:20" x14ac:dyDescent="0.15">
      <c r="B108" s="235" t="s">
        <v>65</v>
      </c>
      <c r="C108" s="235" t="s">
        <v>365</v>
      </c>
      <c r="D108" s="5" t="str">
        <f t="shared" ref="D108:D117" si="66">IF($A$1=1,B108,C108)</f>
        <v>Debito</v>
      </c>
      <c r="E108" s="4"/>
      <c r="F108" s="5">
        <f>F68</f>
        <v>0</v>
      </c>
      <c r="G108" s="5">
        <f>G68</f>
        <v>3000000</v>
      </c>
      <c r="H108" s="5">
        <f t="shared" ref="H108:Q108" si="67">H68</f>
        <v>9000000</v>
      </c>
      <c r="I108" s="5">
        <f t="shared" si="67"/>
        <v>15000000</v>
      </c>
      <c r="J108" s="5">
        <f t="shared" si="67"/>
        <v>21000000</v>
      </c>
      <c r="K108" s="5">
        <f t="shared" si="67"/>
        <v>27000000</v>
      </c>
      <c r="L108" s="5">
        <f t="shared" si="67"/>
        <v>30000000</v>
      </c>
      <c r="M108" s="5">
        <f t="shared" si="67"/>
        <v>30000000</v>
      </c>
      <c r="N108" s="5">
        <f t="shared" si="67"/>
        <v>12000000</v>
      </c>
      <c r="O108" s="5">
        <f t="shared" si="67"/>
        <v>0</v>
      </c>
      <c r="P108" s="5">
        <f t="shared" si="67"/>
        <v>0</v>
      </c>
      <c r="Q108" s="5">
        <f t="shared" si="67"/>
        <v>0</v>
      </c>
      <c r="R108" s="5">
        <f>MAX(F108:Q108)</f>
        <v>30000000</v>
      </c>
    </row>
    <row r="109" spans="2:20" outlineLevel="1" x14ac:dyDescent="0.15">
      <c r="B109" s="233" t="s">
        <v>114</v>
      </c>
      <c r="C109" s="233" t="s">
        <v>114</v>
      </c>
      <c r="D109" s="1" t="str">
        <f t="shared" si="66"/>
        <v>Valore a costo di costruzione</v>
      </c>
      <c r="F109" s="1">
        <f>-(SUM($E$19:F19)-$E$3)*(1-SUM($E15:F15))</f>
        <v>12000000</v>
      </c>
      <c r="G109" s="1">
        <f>-(SUM($E$19:G19)-$E$3)*(1-SUM($E15:G15))</f>
        <v>15000000</v>
      </c>
      <c r="H109" s="1">
        <f>-(SUM($E$19:H19)-$E$3)*(1-SUM($E15:H15))</f>
        <v>21000000</v>
      </c>
      <c r="I109" s="1">
        <f>-(SUM($E$19:I19)-$E$3)*(1-SUM($E15:I15))</f>
        <v>27000000</v>
      </c>
      <c r="J109" s="1">
        <f>-(SUM($E$19:J19)-$E$3)*(1-SUM($E15:J15))</f>
        <v>33000000</v>
      </c>
      <c r="K109" s="1">
        <f>-(SUM($E$19:K19)-$E$3)*(1-SUM($E15:K15))</f>
        <v>39000000</v>
      </c>
      <c r="L109" s="1">
        <f>-(SUM($E$19:L19)-$E$3)*(1-SUM($E15:L15))</f>
        <v>42000000</v>
      </c>
      <c r="M109" s="1">
        <f>-(SUM($E$19:M19)-$E$3)*(1-SUM($E15:M15))</f>
        <v>42000000</v>
      </c>
      <c r="N109" s="1">
        <f>-(SUM($E$19:N19)-$E$3)*(1-SUM($E15:N15))</f>
        <v>21000000</v>
      </c>
      <c r="O109" s="1">
        <f>-(SUM($E$19:O19)-$E$3)*(1-SUM($E15:O15))</f>
        <v>0</v>
      </c>
      <c r="P109" s="1">
        <f>-(SUM($E$19:P19)-$E$3)*(1-SUM($E15:P15))</f>
        <v>0</v>
      </c>
      <c r="Q109" s="1">
        <f>-(SUM($E$19:Q19)-$E$3)*(1-SUM($E15:Q15))</f>
        <v>0</v>
      </c>
    </row>
    <row r="110" spans="2:20" outlineLevel="1" x14ac:dyDescent="0.15">
      <c r="B110" s="233" t="s">
        <v>115</v>
      </c>
      <c r="C110" s="233" t="s">
        <v>115</v>
      </c>
      <c r="D110" s="1" t="str">
        <f t="shared" si="66"/>
        <v>LTC 1</v>
      </c>
      <c r="F110" s="8" t="str">
        <f>IF(F108=0,"",F$108/F109)</f>
        <v/>
      </c>
      <c r="G110" s="8">
        <f>IF(G108=0,"",G$108/G109)</f>
        <v>0.2</v>
      </c>
      <c r="H110" s="8">
        <f t="shared" ref="H110:N110" si="68">IF(H108=0,"",H$108/H109)</f>
        <v>0.42857142857142855</v>
      </c>
      <c r="I110" s="8">
        <f t="shared" si="68"/>
        <v>0.55555555555555558</v>
      </c>
      <c r="J110" s="8">
        <f t="shared" si="68"/>
        <v>0.63636363636363635</v>
      </c>
      <c r="K110" s="8">
        <f t="shared" si="68"/>
        <v>0.69230769230769229</v>
      </c>
      <c r="L110" s="8">
        <f t="shared" si="68"/>
        <v>0.7142857142857143</v>
      </c>
      <c r="M110" s="8">
        <f t="shared" si="68"/>
        <v>0.7142857142857143</v>
      </c>
      <c r="N110" s="8">
        <f t="shared" si="68"/>
        <v>0.5714285714285714</v>
      </c>
      <c r="O110" s="8" t="str">
        <f>IF(O108=0,"",O$108/O109)</f>
        <v/>
      </c>
      <c r="P110" s="8" t="str">
        <f>IF(P108=0,"",P$108/P109)</f>
        <v/>
      </c>
      <c r="Q110" s="8" t="str">
        <f>IF(Q108=0,"",Q$108/Q109)</f>
        <v/>
      </c>
    </row>
    <row r="111" spans="2:20" outlineLevel="1" x14ac:dyDescent="0.15">
      <c r="B111" s="233" t="s">
        <v>116</v>
      </c>
      <c r="C111" s="233" t="s">
        <v>116</v>
      </c>
      <c r="D111" s="1" t="str">
        <f t="shared" si="66"/>
        <v>Valore trasformazione</v>
      </c>
      <c r="F111" s="1">
        <f>$E$5+SUM(F19:$Q19)-SUM($E15:F15)*$E$5</f>
        <v>25000000</v>
      </c>
      <c r="G111" s="1">
        <f>$E$5+SUM(G19:$Q19)-SUM($E15:G15)*$E$5</f>
        <v>25000000</v>
      </c>
      <c r="H111" s="1">
        <f>$E$5+SUM(H19:$Q19)-SUM($E15:H15)*$E$5</f>
        <v>28000000</v>
      </c>
      <c r="I111" s="1">
        <f>$E$5+SUM(I19:$Q19)-SUM($E15:I15)*$E$5</f>
        <v>34000000</v>
      </c>
      <c r="J111" s="1">
        <f>$E$5+SUM(J19:$Q19)-SUM($E15:J15)*$E$5</f>
        <v>40000000</v>
      </c>
      <c r="K111" s="1">
        <f>$E$5+SUM(K19:$Q19)-SUM($E15:K15)*$E$5</f>
        <v>46000000</v>
      </c>
      <c r="L111" s="1">
        <f>$E$5+SUM(L19:$Q19)-SUM($E15:L15)*$E$5</f>
        <v>52000000</v>
      </c>
      <c r="M111" s="1">
        <f>$E$5+SUM(M19:$Q19)-SUM($E15:M15)*$E$5</f>
        <v>55000000</v>
      </c>
      <c r="N111" s="1">
        <f>$E$5+SUM(N19:$Q19)-SUM($E15:N15)*$E$5</f>
        <v>27500000</v>
      </c>
      <c r="O111" s="1">
        <f>$E$5+SUM(O19:$Q19)-SUM($E15:O15)*$E$5</f>
        <v>0</v>
      </c>
      <c r="P111" s="1">
        <f>$E$5+SUM(P19:$Q19)-SUM($E15:P15)*$E$5</f>
        <v>0</v>
      </c>
      <c r="Q111" s="1">
        <f>$E$5+SUM(Q19:$Q19)-SUM($E15:Q15)*$E$5</f>
        <v>0</v>
      </c>
    </row>
    <row r="112" spans="2:20" outlineLevel="1" x14ac:dyDescent="0.15">
      <c r="B112" s="233" t="s">
        <v>118</v>
      </c>
      <c r="C112" s="233" t="s">
        <v>118</v>
      </c>
      <c r="D112" s="1" t="str">
        <f t="shared" si="66"/>
        <v>LTC 2</v>
      </c>
      <c r="F112" s="8" t="str">
        <f>IF(F108=0,"",F$108/F111)</f>
        <v/>
      </c>
      <c r="G112" s="8">
        <f>IF(G108=0,"",G$108/G111)</f>
        <v>0.12</v>
      </c>
      <c r="H112" s="8">
        <f t="shared" ref="H112:Q112" si="69">IF(H108=0,"",H$108/H111)</f>
        <v>0.32142857142857145</v>
      </c>
      <c r="I112" s="8">
        <f t="shared" si="69"/>
        <v>0.44117647058823528</v>
      </c>
      <c r="J112" s="8">
        <f t="shared" si="69"/>
        <v>0.52500000000000002</v>
      </c>
      <c r="K112" s="8">
        <f t="shared" si="69"/>
        <v>0.58695652173913049</v>
      </c>
      <c r="L112" s="8">
        <f t="shared" si="69"/>
        <v>0.57692307692307687</v>
      </c>
      <c r="M112" s="8">
        <f t="shared" si="69"/>
        <v>0.54545454545454541</v>
      </c>
      <c r="N112" s="8">
        <f t="shared" si="69"/>
        <v>0.43636363636363634</v>
      </c>
      <c r="O112" s="8" t="str">
        <f t="shared" si="69"/>
        <v/>
      </c>
      <c r="P112" s="8" t="str">
        <f t="shared" si="69"/>
        <v/>
      </c>
      <c r="Q112" s="8" t="str">
        <f t="shared" si="69"/>
        <v/>
      </c>
    </row>
    <row r="113" spans="2:18" outlineLevel="1" x14ac:dyDescent="0.15">
      <c r="B113" s="233" t="s">
        <v>117</v>
      </c>
      <c r="C113" s="233" t="s">
        <v>117</v>
      </c>
      <c r="D113" s="1" t="str">
        <f t="shared" si="66"/>
        <v>Valore di mercato Medio</v>
      </c>
      <c r="F113" s="1">
        <f>AVERAGE(F109,F111)</f>
        <v>18500000</v>
      </c>
      <c r="G113" s="1">
        <f t="shared" ref="G113:Q113" si="70">AVERAGE(G109,G111)</f>
        <v>20000000</v>
      </c>
      <c r="H113" s="1">
        <f t="shared" si="70"/>
        <v>24500000</v>
      </c>
      <c r="I113" s="1">
        <f t="shared" si="70"/>
        <v>30500000</v>
      </c>
      <c r="J113" s="1">
        <f t="shared" si="70"/>
        <v>36500000</v>
      </c>
      <c r="K113" s="1">
        <f t="shared" si="70"/>
        <v>42500000</v>
      </c>
      <c r="L113" s="1">
        <f t="shared" si="70"/>
        <v>47000000</v>
      </c>
      <c r="M113" s="1">
        <f t="shared" si="70"/>
        <v>48500000</v>
      </c>
      <c r="N113" s="1">
        <f t="shared" si="70"/>
        <v>24250000</v>
      </c>
      <c r="O113" s="1">
        <f t="shared" si="70"/>
        <v>0</v>
      </c>
      <c r="P113" s="1">
        <f t="shared" si="70"/>
        <v>0</v>
      </c>
      <c r="Q113" s="1">
        <f t="shared" si="70"/>
        <v>0</v>
      </c>
    </row>
    <row r="114" spans="2:18" outlineLevel="1" x14ac:dyDescent="0.15">
      <c r="B114" s="233" t="s">
        <v>119</v>
      </c>
      <c r="C114" s="233" t="s">
        <v>119</v>
      </c>
      <c r="D114" s="1" t="str">
        <f t="shared" si="66"/>
        <v>LTC 3</v>
      </c>
      <c r="F114" s="8" t="str">
        <f>IF(F108=0,"",F$108/F113)</f>
        <v/>
      </c>
      <c r="G114" s="8">
        <f>IF(G108=0,"",G$108/G113)</f>
        <v>0.15</v>
      </c>
      <c r="H114" s="8">
        <f t="shared" ref="H114:Q114" si="71">IF(H108=0,"",H$108/H113)</f>
        <v>0.36734693877551022</v>
      </c>
      <c r="I114" s="8">
        <f t="shared" si="71"/>
        <v>0.49180327868852458</v>
      </c>
      <c r="J114" s="8">
        <f t="shared" si="71"/>
        <v>0.57534246575342463</v>
      </c>
      <c r="K114" s="8">
        <f t="shared" si="71"/>
        <v>0.63529411764705879</v>
      </c>
      <c r="L114" s="8">
        <f t="shared" si="71"/>
        <v>0.63829787234042556</v>
      </c>
      <c r="M114" s="8">
        <f t="shared" si="71"/>
        <v>0.61855670103092786</v>
      </c>
      <c r="N114" s="8">
        <f t="shared" si="71"/>
        <v>0.49484536082474229</v>
      </c>
      <c r="O114" s="8" t="str">
        <f t="shared" si="71"/>
        <v/>
      </c>
      <c r="P114" s="8" t="str">
        <f t="shared" si="71"/>
        <v/>
      </c>
      <c r="Q114" s="8" t="str">
        <f t="shared" si="71"/>
        <v/>
      </c>
    </row>
    <row r="115" spans="2:18" x14ac:dyDescent="0.15">
      <c r="B115" s="235" t="s">
        <v>120</v>
      </c>
      <c r="C115" s="235" t="s">
        <v>366</v>
      </c>
      <c r="D115" s="5" t="str">
        <f t="shared" si="66"/>
        <v>Valore di mercato Medio ponderato costruzione</v>
      </c>
      <c r="E115" s="4"/>
      <c r="F115" s="5">
        <f>F109*(1-SUM($E13:F13))+F111*SUM($E13:F13)</f>
        <v>12000000</v>
      </c>
      <c r="G115" s="5">
        <f>G109*(1-SUM($E13:G13))+G111*SUM($E13:G13)</f>
        <v>16000000</v>
      </c>
      <c r="H115" s="5">
        <f>H109*(1-SUM($E13:H13))+H111*SUM($E13:H13)</f>
        <v>23100000</v>
      </c>
      <c r="I115" s="5">
        <f>I109*(1-SUM($E13:I13))+I111*SUM($E13:I13)</f>
        <v>30500000</v>
      </c>
      <c r="J115" s="5">
        <f>J109*(1-SUM($E13:J13))+J111*SUM($E13:J13)</f>
        <v>37900000</v>
      </c>
      <c r="K115" s="5">
        <f>K109*(1-SUM($E13:K13))+K111*SUM($E13:K13)</f>
        <v>45299999.999999993</v>
      </c>
      <c r="L115" s="5">
        <f>L109*(1-SUM($E13:L13))+L111*SUM($E13:L13)</f>
        <v>52000000</v>
      </c>
      <c r="M115" s="5">
        <f>M109*(1-SUM($E13:M13))+M111*SUM($E13:M13)</f>
        <v>55000000</v>
      </c>
      <c r="N115" s="5">
        <f>N109*(1-SUM($E13:N13))+N111*SUM($E13:N13)</f>
        <v>27500000</v>
      </c>
      <c r="O115" s="5">
        <f>O109*(1-SUM($E13:O13))+O111*SUM($E13:O13)</f>
        <v>0</v>
      </c>
      <c r="P115" s="5">
        <f>P109*(1-SUM($E13:P13))+P111*SUM($E13:P13)</f>
        <v>0</v>
      </c>
      <c r="Q115" s="5">
        <f>Q109*(1-SUM($E13:Q13))+Q111*SUM($E13:Q13)</f>
        <v>0</v>
      </c>
      <c r="R115" s="5">
        <f>MAX(F115:Q115)</f>
        <v>55000000</v>
      </c>
    </row>
    <row r="116" spans="2:18" x14ac:dyDescent="0.15">
      <c r="B116" s="235" t="s">
        <v>0</v>
      </c>
      <c r="C116" s="235" t="s">
        <v>0</v>
      </c>
      <c r="D116" s="5" t="str">
        <f t="shared" si="66"/>
        <v>LTV</v>
      </c>
      <c r="E116" s="4"/>
      <c r="F116" s="15" t="str">
        <f>IF(F108=0,"",F$108/F115)</f>
        <v/>
      </c>
      <c r="G116" s="15">
        <f>IF(G108=0,"",G$108/G115)</f>
        <v>0.1875</v>
      </c>
      <c r="H116" s="15">
        <f t="shared" ref="H116:Q116" si="72">IF(H108=0,"",H$108/H115)</f>
        <v>0.38961038961038963</v>
      </c>
      <c r="I116" s="15">
        <f t="shared" si="72"/>
        <v>0.49180327868852458</v>
      </c>
      <c r="J116" s="15">
        <f t="shared" si="72"/>
        <v>0.55408970976253302</v>
      </c>
      <c r="K116" s="15">
        <f t="shared" si="72"/>
        <v>0.59602649006622521</v>
      </c>
      <c r="L116" s="15">
        <f t="shared" si="72"/>
        <v>0.57692307692307687</v>
      </c>
      <c r="M116" s="15">
        <f t="shared" si="72"/>
        <v>0.54545454545454541</v>
      </c>
      <c r="N116" s="15">
        <f t="shared" si="72"/>
        <v>0.43636363636363634</v>
      </c>
      <c r="O116" s="15" t="str">
        <f t="shared" si="72"/>
        <v/>
      </c>
      <c r="P116" s="15" t="str">
        <f t="shared" si="72"/>
        <v/>
      </c>
      <c r="Q116" s="15" t="str">
        <f t="shared" si="72"/>
        <v/>
      </c>
      <c r="R116" s="15">
        <f>MAX(F116:Q116)</f>
        <v>0.59602649006622521</v>
      </c>
    </row>
    <row r="117" spans="2:18" x14ac:dyDescent="0.15">
      <c r="B117" s="235" t="s">
        <v>139</v>
      </c>
      <c r="C117" s="235" t="s">
        <v>139</v>
      </c>
      <c r="D117" s="5" t="str">
        <f t="shared" si="66"/>
        <v>Covenant Test</v>
      </c>
      <c r="E117" s="4"/>
      <c r="F117" s="16" t="str">
        <f t="shared" ref="F117:Q117" si="73">IF(F108=0,"",IF($E$53&gt;=F116,"OK","NO"))</f>
        <v/>
      </c>
      <c r="G117" s="16" t="str">
        <f t="shared" si="73"/>
        <v>OK</v>
      </c>
      <c r="H117" s="16" t="str">
        <f t="shared" si="73"/>
        <v>OK</v>
      </c>
      <c r="I117" s="16" t="str">
        <f t="shared" si="73"/>
        <v>OK</v>
      </c>
      <c r="J117" s="16" t="str">
        <f t="shared" si="73"/>
        <v>OK</v>
      </c>
      <c r="K117" s="16" t="str">
        <f t="shared" si="73"/>
        <v>OK</v>
      </c>
      <c r="L117" s="16" t="str">
        <f t="shared" si="73"/>
        <v>OK</v>
      </c>
      <c r="M117" s="16" t="str">
        <f t="shared" si="73"/>
        <v>OK</v>
      </c>
      <c r="N117" s="16" t="str">
        <f t="shared" si="73"/>
        <v>OK</v>
      </c>
      <c r="O117" s="16" t="str">
        <f t="shared" si="73"/>
        <v/>
      </c>
      <c r="P117" s="16" t="str">
        <f t="shared" si="73"/>
        <v/>
      </c>
      <c r="Q117" s="16" t="str">
        <f t="shared" si="73"/>
        <v/>
      </c>
    </row>
  </sheetData>
  <phoneticPr fontId="19" type="noConversion"/>
  <conditionalFormatting sqref="E17:Q21 E24:Q24 E27:Q40 G41:G42 F41:F43 H41:H43 I41:Q46 E44:E46 F45:F46 E62:Q106 F109:Q109 F111:Q111 F113:Q113 F115:Q115">
    <cfRule type="cellIs" dxfId="10" priority="22" operator="equal">
      <formula>0</formula>
    </cfRule>
  </conditionalFormatting>
  <conditionalFormatting sqref="F117:Q117">
    <cfRule type="cellIs" dxfId="9" priority="5" operator="equal">
      <formula>"no"</formula>
    </cfRule>
  </conditionalFormatting>
  <conditionalFormatting sqref="G44:G47">
    <cfRule type="cellIs" dxfId="8" priority="2" operator="equal">
      <formula>0</formula>
    </cfRule>
  </conditionalFormatting>
  <conditionalFormatting sqref="H45:H47">
    <cfRule type="cellIs" dxfId="7" priority="1" operator="equal">
      <formula>0</formula>
    </cfRule>
  </conditionalFormatting>
  <pageMargins left="0.70866141732283472" right="0.70866141732283472" top="0" bottom="0" header="0.31496062992125984" footer="0.31496062992125984"/>
  <pageSetup paperSize="9" scale="5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21">
    <tabColor rgb="FF00B0F0"/>
  </sheetPr>
  <dimension ref="A1:N114"/>
  <sheetViews>
    <sheetView showGridLines="0" workbookViewId="0">
      <selection activeCell="B2" sqref="B2:N18"/>
    </sheetView>
  </sheetViews>
  <sheetFormatPr defaultColWidth="9.140625" defaultRowHeight="15" x14ac:dyDescent="0.25"/>
  <cols>
    <col min="1" max="1" width="9.140625" style="20"/>
    <col min="2" max="2" width="26" style="59" bestFit="1" customWidth="1"/>
    <col min="3" max="3" width="12.5703125" style="58" bestFit="1" customWidth="1"/>
    <col min="4" max="4" width="4.5703125" style="58" bestFit="1" customWidth="1"/>
    <col min="5" max="9" width="11.42578125" style="58" bestFit="1" customWidth="1"/>
    <col min="10" max="10" width="10.28515625" style="58" bestFit="1" customWidth="1"/>
    <col min="11" max="11" width="10.7109375" style="58" bestFit="1" customWidth="1"/>
    <col min="12" max="13" width="11.85546875" style="58" bestFit="1" customWidth="1"/>
    <col min="14" max="14" width="13.140625" style="58" bestFit="1" customWidth="1"/>
    <col min="15" max="16384" width="9.140625" style="20"/>
  </cols>
  <sheetData>
    <row r="1" spans="1:14" x14ac:dyDescent="0.25">
      <c r="A1" s="20">
        <v>1</v>
      </c>
      <c r="N1" s="46"/>
    </row>
    <row r="2" spans="1:14" ht="15.75" thickBot="1" x14ac:dyDescent="0.3">
      <c r="B2" s="95" t="str">
        <f>'ts3 sviluppo'!D11</f>
        <v>Timing</v>
      </c>
      <c r="C2" s="36">
        <f>'ts3 sviluppo'!E11</f>
        <v>0</v>
      </c>
      <c r="D2" s="36">
        <f>'ts3 sviluppo'!F11</f>
        <v>1</v>
      </c>
      <c r="E2" s="36">
        <f>'ts3 sviluppo'!G11</f>
        <v>2</v>
      </c>
      <c r="F2" s="36">
        <f>'ts3 sviluppo'!H11</f>
        <v>3</v>
      </c>
      <c r="G2" s="36">
        <f>'ts3 sviluppo'!I11</f>
        <v>4</v>
      </c>
      <c r="H2" s="36">
        <f>'ts3 sviluppo'!J11</f>
        <v>5</v>
      </c>
      <c r="I2" s="36">
        <f>'ts3 sviluppo'!K11</f>
        <v>6</v>
      </c>
      <c r="J2" s="36">
        <f>'ts3 sviluppo'!L11</f>
        <v>7</v>
      </c>
      <c r="K2" s="36">
        <f>'ts3 sviluppo'!M11</f>
        <v>8</v>
      </c>
      <c r="L2" s="36">
        <f>'ts3 sviluppo'!N11</f>
        <v>9</v>
      </c>
      <c r="M2" s="36">
        <f>'ts3 sviluppo'!O11</f>
        <v>10</v>
      </c>
      <c r="N2" s="46"/>
    </row>
    <row r="3" spans="1:14" ht="15.75" thickTop="1" x14ac:dyDescent="0.25">
      <c r="B3" s="50" t="str">
        <f>'ts3 sviluppo'!D12</f>
        <v>Acquisizione Area %</v>
      </c>
      <c r="C3" s="46">
        <f>'ts3 sviluppo'!E12</f>
        <v>1</v>
      </c>
      <c r="D3" s="46">
        <f>'ts3 sviluppo'!F12</f>
        <v>0</v>
      </c>
      <c r="E3" s="46">
        <f>'ts3 sviluppo'!G12</f>
        <v>0</v>
      </c>
      <c r="F3" s="46">
        <f>'ts3 sviluppo'!H12</f>
        <v>0</v>
      </c>
      <c r="G3" s="46">
        <f>'ts3 sviluppo'!I12</f>
        <v>0</v>
      </c>
      <c r="H3" s="46">
        <f>'ts3 sviluppo'!J12</f>
        <v>0</v>
      </c>
      <c r="I3" s="46">
        <f>'ts3 sviluppo'!K12</f>
        <v>0</v>
      </c>
      <c r="J3" s="46">
        <f>'ts3 sviluppo'!L12</f>
        <v>0</v>
      </c>
      <c r="K3" s="46">
        <f>'ts3 sviluppo'!M12</f>
        <v>0</v>
      </c>
      <c r="L3" s="46">
        <f>'ts3 sviluppo'!N12</f>
        <v>0</v>
      </c>
      <c r="M3" s="46">
        <f>'ts3 sviluppo'!O12</f>
        <v>0</v>
      </c>
      <c r="N3" s="46"/>
    </row>
    <row r="4" spans="1:14" x14ac:dyDescent="0.25">
      <c r="B4" s="50" t="str">
        <f>'ts3 sviluppo'!D13</f>
        <v>Costruzione %</v>
      </c>
      <c r="C4" s="46">
        <f>'ts3 sviluppo'!E13</f>
        <v>0</v>
      </c>
      <c r="D4" s="46">
        <f>'ts3 sviluppo'!F13</f>
        <v>0</v>
      </c>
      <c r="E4" s="46">
        <f>'ts3 sviluppo'!G13</f>
        <v>0.1</v>
      </c>
      <c r="F4" s="46">
        <f>'ts3 sviluppo'!H13</f>
        <v>0.2</v>
      </c>
      <c r="G4" s="46">
        <f>'ts3 sviluppo'!I13</f>
        <v>0.2</v>
      </c>
      <c r="H4" s="46">
        <f>'ts3 sviluppo'!J13</f>
        <v>0.2</v>
      </c>
      <c r="I4" s="46">
        <f>'ts3 sviluppo'!K13</f>
        <v>0.2</v>
      </c>
      <c r="J4" s="46">
        <f>'ts3 sviluppo'!L13</f>
        <v>0.1</v>
      </c>
      <c r="K4" s="46">
        <f>'ts3 sviluppo'!M13</f>
        <v>0</v>
      </c>
      <c r="L4" s="46">
        <f>'ts3 sviluppo'!N13</f>
        <v>0</v>
      </c>
      <c r="M4" s="46">
        <f>'ts3 sviluppo'!O13</f>
        <v>0</v>
      </c>
      <c r="N4" s="46"/>
    </row>
    <row r="5" spans="1:14" x14ac:dyDescent="0.25">
      <c r="B5" s="50" t="str">
        <f>'ts3 sviluppo'!D14</f>
        <v>Preliminare %</v>
      </c>
      <c r="C5" s="46">
        <f>'ts3 sviluppo'!E14</f>
        <v>0</v>
      </c>
      <c r="D5" s="46">
        <f>'ts3 sviluppo'!F14</f>
        <v>0</v>
      </c>
      <c r="E5" s="46">
        <f>'ts3 sviluppo'!G14</f>
        <v>0</v>
      </c>
      <c r="F5" s="46">
        <f>'ts3 sviluppo'!H14</f>
        <v>0</v>
      </c>
      <c r="G5" s="46">
        <f>'ts3 sviluppo'!I14</f>
        <v>0.1</v>
      </c>
      <c r="H5" s="46">
        <f>'ts3 sviluppo'!J14</f>
        <v>0.2</v>
      </c>
      <c r="I5" s="46">
        <f>'ts3 sviluppo'!K14</f>
        <v>0.2</v>
      </c>
      <c r="J5" s="46">
        <f>'ts3 sviluppo'!L14</f>
        <v>0.25</v>
      </c>
      <c r="K5" s="46">
        <f>'ts3 sviluppo'!M14</f>
        <v>0.25</v>
      </c>
      <c r="L5" s="46">
        <f>'ts3 sviluppo'!N14</f>
        <v>0</v>
      </c>
      <c r="M5" s="46">
        <f>'ts3 sviluppo'!O14</f>
        <v>0</v>
      </c>
      <c r="N5" s="46"/>
    </row>
    <row r="6" spans="1:14" x14ac:dyDescent="0.25">
      <c r="B6" s="50" t="str">
        <f>'ts3 sviluppo'!D15</f>
        <v>Rogito %</v>
      </c>
      <c r="C6" s="41">
        <f>'ts3 sviluppo'!E15</f>
        <v>0</v>
      </c>
      <c r="D6" s="41">
        <f>'ts3 sviluppo'!F15</f>
        <v>0</v>
      </c>
      <c r="E6" s="41">
        <f>'ts3 sviluppo'!G15</f>
        <v>0</v>
      </c>
      <c r="F6" s="41">
        <f>'ts3 sviluppo'!H15</f>
        <v>0</v>
      </c>
      <c r="G6" s="41">
        <f>'ts3 sviluppo'!I15</f>
        <v>0</v>
      </c>
      <c r="H6" s="41">
        <f>'ts3 sviluppo'!J15</f>
        <v>0</v>
      </c>
      <c r="I6" s="41">
        <f>'ts3 sviluppo'!K15</f>
        <v>0</v>
      </c>
      <c r="J6" s="41">
        <f>'ts3 sviluppo'!L15</f>
        <v>0</v>
      </c>
      <c r="K6" s="41">
        <f>'ts3 sviluppo'!M15</f>
        <v>0</v>
      </c>
      <c r="L6" s="46">
        <f>'ts3 sviluppo'!N15</f>
        <v>0.5</v>
      </c>
      <c r="M6" s="46">
        <f>'ts3 sviluppo'!O15</f>
        <v>0.5</v>
      </c>
      <c r="N6" s="46"/>
    </row>
    <row r="7" spans="1:14" x14ac:dyDescent="0.25">
      <c r="B7" s="50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</row>
    <row r="8" spans="1:14" ht="15.75" thickBot="1" x14ac:dyDescent="0.3">
      <c r="B8" s="48" t="s">
        <v>376</v>
      </c>
      <c r="C8" s="36">
        <f>'ts3 sviluppo'!E17</f>
        <v>0</v>
      </c>
      <c r="D8" s="36">
        <f>'ts3 sviluppo'!F17</f>
        <v>1</v>
      </c>
      <c r="E8" s="36">
        <f>'ts3 sviluppo'!G17</f>
        <v>2</v>
      </c>
      <c r="F8" s="36">
        <f>'ts3 sviluppo'!H17</f>
        <v>3</v>
      </c>
      <c r="G8" s="36">
        <f>'ts3 sviluppo'!I17</f>
        <v>4</v>
      </c>
      <c r="H8" s="36">
        <f>'ts3 sviluppo'!J17</f>
        <v>5</v>
      </c>
      <c r="I8" s="36">
        <f>'ts3 sviluppo'!K17</f>
        <v>6</v>
      </c>
      <c r="J8" s="36">
        <f>'ts3 sviluppo'!L17</f>
        <v>7</v>
      </c>
      <c r="K8" s="36">
        <f>'ts3 sviluppo'!M17</f>
        <v>8</v>
      </c>
      <c r="L8" s="36">
        <f>'ts3 sviluppo'!N17</f>
        <v>9</v>
      </c>
      <c r="M8" s="36">
        <f>'ts3 sviluppo'!O17</f>
        <v>10</v>
      </c>
      <c r="N8" s="36" t="str">
        <f>'ts3 sviluppo'!R17</f>
        <v>Tot</v>
      </c>
    </row>
    <row r="9" spans="1:14" ht="15.75" thickTop="1" x14ac:dyDescent="0.25">
      <c r="B9" s="50" t="str">
        <f>'ts3 sviluppo'!D18</f>
        <v>Acquisizione Area</v>
      </c>
      <c r="C9" s="37">
        <f>'ts3 sviluppo'!E18</f>
        <v>-12000000</v>
      </c>
      <c r="D9" s="37">
        <f>'ts3 sviluppo'!F18</f>
        <v>0</v>
      </c>
      <c r="E9" s="37">
        <f>'ts3 sviluppo'!G18</f>
        <v>0</v>
      </c>
      <c r="F9" s="37">
        <f>'ts3 sviluppo'!H18</f>
        <v>0</v>
      </c>
      <c r="G9" s="37">
        <f>'ts3 sviluppo'!I18</f>
        <v>0</v>
      </c>
      <c r="H9" s="37">
        <f>'ts3 sviluppo'!J18</f>
        <v>0</v>
      </c>
      <c r="I9" s="37">
        <f>'ts3 sviluppo'!K18</f>
        <v>0</v>
      </c>
      <c r="J9" s="37">
        <f>'ts3 sviluppo'!L18</f>
        <v>0</v>
      </c>
      <c r="K9" s="37">
        <f>'ts3 sviluppo'!M18</f>
        <v>0</v>
      </c>
      <c r="L9" s="37">
        <f>'ts3 sviluppo'!N18</f>
        <v>0</v>
      </c>
      <c r="M9" s="37">
        <f>'ts3 sviluppo'!O18</f>
        <v>0</v>
      </c>
      <c r="N9" s="87">
        <f>'ts3 sviluppo'!R18</f>
        <v>-12000000</v>
      </c>
    </row>
    <row r="10" spans="1:14" x14ac:dyDescent="0.25">
      <c r="B10" s="50" t="str">
        <f>'ts3 sviluppo'!D19</f>
        <v>Costruzione</v>
      </c>
      <c r="C10" s="37">
        <f>'ts3 sviluppo'!E19</f>
        <v>0</v>
      </c>
      <c r="D10" s="37">
        <f>'ts3 sviluppo'!F19</f>
        <v>0</v>
      </c>
      <c r="E10" s="37">
        <f>'ts3 sviluppo'!G19</f>
        <v>-3000000</v>
      </c>
      <c r="F10" s="37">
        <f>'ts3 sviluppo'!H19</f>
        <v>-6000000</v>
      </c>
      <c r="G10" s="37">
        <f>'ts3 sviluppo'!I19</f>
        <v>-6000000</v>
      </c>
      <c r="H10" s="37">
        <f>'ts3 sviluppo'!J19</f>
        <v>-6000000</v>
      </c>
      <c r="I10" s="37">
        <f>'ts3 sviluppo'!K19</f>
        <v>-6000000</v>
      </c>
      <c r="J10" s="37">
        <f>'ts3 sviluppo'!L19</f>
        <v>-3000000</v>
      </c>
      <c r="K10" s="37">
        <f>'ts3 sviluppo'!M19</f>
        <v>0</v>
      </c>
      <c r="L10" s="37">
        <f>'ts3 sviluppo'!N19</f>
        <v>0</v>
      </c>
      <c r="M10" s="37">
        <f>'ts3 sviluppo'!O19</f>
        <v>0</v>
      </c>
      <c r="N10" s="87">
        <f>'ts3 sviluppo'!R19</f>
        <v>-30000000</v>
      </c>
    </row>
    <row r="11" spans="1:14" x14ac:dyDescent="0.25">
      <c r="B11" s="50" t="str">
        <f>'ts3 sviluppo'!D20</f>
        <v>Preliminare</v>
      </c>
      <c r="C11" s="37">
        <f>'ts3 sviluppo'!E20</f>
        <v>0</v>
      </c>
      <c r="D11" s="37">
        <f>'ts3 sviluppo'!F20</f>
        <v>0</v>
      </c>
      <c r="E11" s="37">
        <f>'ts3 sviluppo'!G20</f>
        <v>0</v>
      </c>
      <c r="F11" s="37">
        <f>'ts3 sviluppo'!H20</f>
        <v>0</v>
      </c>
      <c r="G11" s="37">
        <f>'ts3 sviluppo'!I20</f>
        <v>1100000</v>
      </c>
      <c r="H11" s="37">
        <f>'ts3 sviluppo'!J20</f>
        <v>2200000</v>
      </c>
      <c r="I11" s="37">
        <f>'ts3 sviluppo'!K20</f>
        <v>2200000</v>
      </c>
      <c r="J11" s="37">
        <f>'ts3 sviluppo'!L20</f>
        <v>2750000</v>
      </c>
      <c r="K11" s="37">
        <f>'ts3 sviluppo'!M20</f>
        <v>2750000</v>
      </c>
      <c r="L11" s="37">
        <f>'ts3 sviluppo'!N20</f>
        <v>0</v>
      </c>
      <c r="M11" s="37">
        <f>'ts3 sviluppo'!O20</f>
        <v>0</v>
      </c>
      <c r="N11" s="87">
        <f>'ts3 sviluppo'!R20</f>
        <v>11000000</v>
      </c>
    </row>
    <row r="12" spans="1:14" x14ac:dyDescent="0.25">
      <c r="B12" s="51" t="str">
        <f>'ts3 sviluppo'!D21</f>
        <v>Rogito</v>
      </c>
      <c r="C12" s="39">
        <f>'ts3 sviluppo'!E21</f>
        <v>0</v>
      </c>
      <c r="D12" s="39">
        <f>'ts3 sviluppo'!F21</f>
        <v>0</v>
      </c>
      <c r="E12" s="39">
        <f>'ts3 sviluppo'!G21</f>
        <v>0</v>
      </c>
      <c r="F12" s="39">
        <f>'ts3 sviluppo'!H21</f>
        <v>0</v>
      </c>
      <c r="G12" s="39">
        <f>'ts3 sviluppo'!I21</f>
        <v>0</v>
      </c>
      <c r="H12" s="39">
        <f>'ts3 sviluppo'!J21</f>
        <v>0</v>
      </c>
      <c r="I12" s="39">
        <f>'ts3 sviluppo'!K21</f>
        <v>0</v>
      </c>
      <c r="J12" s="39">
        <f>'ts3 sviluppo'!L21</f>
        <v>0</v>
      </c>
      <c r="K12" s="39">
        <f>'ts3 sviluppo'!M21</f>
        <v>0</v>
      </c>
      <c r="L12" s="39">
        <f>'ts3 sviluppo'!N21</f>
        <v>22000000</v>
      </c>
      <c r="M12" s="39">
        <f>'ts3 sviluppo'!O21</f>
        <v>22000000</v>
      </c>
      <c r="N12" s="88">
        <f>'ts3 sviluppo'!R21</f>
        <v>44000000</v>
      </c>
    </row>
    <row r="13" spans="1:14" x14ac:dyDescent="0.25">
      <c r="B13" s="49" t="str">
        <f>'ts3 sviluppo'!D22</f>
        <v>Flusso Immobiliare</v>
      </c>
      <c r="C13" s="38">
        <f>'ts3 sviluppo'!E22</f>
        <v>-12000000</v>
      </c>
      <c r="D13" s="38">
        <f>'ts3 sviluppo'!F22</f>
        <v>0</v>
      </c>
      <c r="E13" s="38">
        <f>'ts3 sviluppo'!G22</f>
        <v>-3000000</v>
      </c>
      <c r="F13" s="38">
        <f>'ts3 sviluppo'!H22</f>
        <v>-6000000</v>
      </c>
      <c r="G13" s="38">
        <f>'ts3 sviluppo'!I22</f>
        <v>-4900000</v>
      </c>
      <c r="H13" s="38">
        <f>'ts3 sviluppo'!J22</f>
        <v>-3800000</v>
      </c>
      <c r="I13" s="38">
        <f>'ts3 sviluppo'!K22</f>
        <v>-3800000</v>
      </c>
      <c r="J13" s="38">
        <f>'ts3 sviluppo'!L22</f>
        <v>-250000</v>
      </c>
      <c r="K13" s="38">
        <f>'ts3 sviluppo'!M22</f>
        <v>2750000</v>
      </c>
      <c r="L13" s="38">
        <f>'ts3 sviluppo'!N22</f>
        <v>22000000</v>
      </c>
      <c r="M13" s="38">
        <f>'ts3 sviluppo'!O22</f>
        <v>22000000</v>
      </c>
      <c r="N13" s="38">
        <f>'ts3 sviluppo'!R22</f>
        <v>13000000</v>
      </c>
    </row>
    <row r="14" spans="1:14" x14ac:dyDescent="0.25">
      <c r="B14" s="52" t="str">
        <f>'ts3 sviluppo'!D27</f>
        <v>IVA Periodo</v>
      </c>
      <c r="C14" s="40">
        <f>'ts3 sviluppo'!E27</f>
        <v>0</v>
      </c>
      <c r="D14" s="40">
        <f>'ts3 sviluppo'!F27</f>
        <v>0</v>
      </c>
      <c r="E14" s="40">
        <f>'ts3 sviluppo'!G27</f>
        <v>-300000</v>
      </c>
      <c r="F14" s="40">
        <f>'ts3 sviluppo'!H27</f>
        <v>-600000</v>
      </c>
      <c r="G14" s="40">
        <f>'ts3 sviluppo'!I27</f>
        <v>-556000</v>
      </c>
      <c r="H14" s="40">
        <f>'ts3 sviluppo'!J27</f>
        <v>-512000</v>
      </c>
      <c r="I14" s="40">
        <f>'ts3 sviluppo'!K27</f>
        <v>-512000</v>
      </c>
      <c r="J14" s="40">
        <f>'ts3 sviluppo'!L27</f>
        <v>-190000</v>
      </c>
      <c r="K14" s="40">
        <f>'ts3 sviluppo'!M27</f>
        <v>110000</v>
      </c>
      <c r="L14" s="40">
        <f>'ts3 sviluppo'!N27</f>
        <v>880000</v>
      </c>
      <c r="M14" s="40">
        <f>'ts3 sviluppo'!O27</f>
        <v>880000</v>
      </c>
      <c r="N14" s="87">
        <f>'ts3 sviluppo'!R27</f>
        <v>-800000</v>
      </c>
    </row>
    <row r="15" spans="1:14" x14ac:dyDescent="0.25">
      <c r="B15" s="52" t="str">
        <f>'ts3 sviluppo'!D30</f>
        <v>IVA Versata</v>
      </c>
      <c r="C15" s="40">
        <f>'ts3 sviluppo'!E30</f>
        <v>0</v>
      </c>
      <c r="D15" s="40">
        <f>'ts3 sviluppo'!F30</f>
        <v>0</v>
      </c>
      <c r="E15" s="40">
        <f>'ts3 sviluppo'!G30</f>
        <v>0</v>
      </c>
      <c r="F15" s="40">
        <f>'ts3 sviluppo'!H30</f>
        <v>0</v>
      </c>
      <c r="G15" s="40">
        <f>'ts3 sviluppo'!I30</f>
        <v>0</v>
      </c>
      <c r="H15" s="40">
        <f>'ts3 sviluppo'!J30</f>
        <v>0</v>
      </c>
      <c r="I15" s="40">
        <f>'ts3 sviluppo'!K30</f>
        <v>0</v>
      </c>
      <c r="J15" s="40">
        <f>'ts3 sviluppo'!L30</f>
        <v>0</v>
      </c>
      <c r="K15" s="40">
        <f>'ts3 sviluppo'!M30</f>
        <v>0</v>
      </c>
      <c r="L15" s="40">
        <f>'ts3 sviluppo'!N30</f>
        <v>0</v>
      </c>
      <c r="M15" s="40">
        <f>'ts3 sviluppo'!O30</f>
        <v>0</v>
      </c>
      <c r="N15" s="87">
        <f>'ts3 sviluppo'!R34</f>
        <v>0</v>
      </c>
    </row>
    <row r="16" spans="1:14" x14ac:dyDescent="0.25">
      <c r="B16" s="52" t="str">
        <f>'ts3 sviluppo'!D35</f>
        <v>Rimborso Iva</v>
      </c>
      <c r="C16" s="40">
        <f>'ts3 sviluppo'!E35</f>
        <v>0</v>
      </c>
      <c r="D16" s="40">
        <f>'ts3 sviluppo'!F35</f>
        <v>0</v>
      </c>
      <c r="E16" s="40">
        <f>'ts3 sviluppo'!G35</f>
        <v>0</v>
      </c>
      <c r="F16" s="40">
        <f>'ts3 sviluppo'!H35</f>
        <v>0</v>
      </c>
      <c r="G16" s="40">
        <f>'ts3 sviluppo'!I35</f>
        <v>0</v>
      </c>
      <c r="H16" s="40">
        <f>'ts3 sviluppo'!J35</f>
        <v>0</v>
      </c>
      <c r="I16" s="40">
        <f>'ts3 sviluppo'!K35</f>
        <v>0</v>
      </c>
      <c r="J16" s="40">
        <f>'ts3 sviluppo'!L35</f>
        <v>0</v>
      </c>
      <c r="K16" s="40">
        <f>'ts3 sviluppo'!M35</f>
        <v>0</v>
      </c>
      <c r="L16" s="40">
        <f>'ts3 sviluppo'!N35</f>
        <v>0</v>
      </c>
      <c r="M16" s="40">
        <f>'ts3 sviluppo'!O35</f>
        <v>800000</v>
      </c>
      <c r="N16" s="87">
        <f>'ts3 sviluppo'!R35</f>
        <v>800000</v>
      </c>
    </row>
    <row r="17" spans="2:14" x14ac:dyDescent="0.25">
      <c r="B17" s="51" t="str">
        <f>'ts3 sviluppo'!D38</f>
        <v>Flusso IVA</v>
      </c>
      <c r="C17" s="39">
        <f>'ts3 sviluppo'!E38</f>
        <v>0</v>
      </c>
      <c r="D17" s="39">
        <f>'ts3 sviluppo'!F38</f>
        <v>0</v>
      </c>
      <c r="E17" s="39">
        <f>'ts3 sviluppo'!G38</f>
        <v>-300000</v>
      </c>
      <c r="F17" s="39">
        <f>'ts3 sviluppo'!H38</f>
        <v>-600000</v>
      </c>
      <c r="G17" s="39">
        <f>'ts3 sviluppo'!I38</f>
        <v>-556000</v>
      </c>
      <c r="H17" s="39">
        <f>'ts3 sviluppo'!J38</f>
        <v>-512000</v>
      </c>
      <c r="I17" s="39">
        <f>'ts3 sviluppo'!K38</f>
        <v>-512000</v>
      </c>
      <c r="J17" s="39">
        <f>'ts3 sviluppo'!L38</f>
        <v>-190000</v>
      </c>
      <c r="K17" s="39">
        <f>'ts3 sviluppo'!M38</f>
        <v>110000</v>
      </c>
      <c r="L17" s="39">
        <f>'ts3 sviluppo'!N38</f>
        <v>880000</v>
      </c>
      <c r="M17" s="39">
        <f>'ts3 sviluppo'!O38</f>
        <v>1680000</v>
      </c>
      <c r="N17" s="88">
        <f>'ts3 sviluppo'!R38</f>
        <v>0</v>
      </c>
    </row>
    <row r="18" spans="2:14" x14ac:dyDescent="0.25">
      <c r="B18" s="49" t="str">
        <f>'ts3 sviluppo'!D39</f>
        <v>Flusso Operativo con IVA</v>
      </c>
      <c r="C18" s="38">
        <f>'ts3 sviluppo'!E39</f>
        <v>-12000000</v>
      </c>
      <c r="D18" s="38">
        <f>'ts3 sviluppo'!F39</f>
        <v>0</v>
      </c>
      <c r="E18" s="38">
        <f>'ts3 sviluppo'!G39</f>
        <v>-3300000</v>
      </c>
      <c r="F18" s="38">
        <f>'ts3 sviluppo'!H39</f>
        <v>-6600000</v>
      </c>
      <c r="G18" s="38">
        <f>'ts3 sviluppo'!I39</f>
        <v>-5456000</v>
      </c>
      <c r="H18" s="38">
        <f>'ts3 sviluppo'!J39</f>
        <v>-4312000</v>
      </c>
      <c r="I18" s="38">
        <f>'ts3 sviluppo'!K39</f>
        <v>-4312000</v>
      </c>
      <c r="J18" s="38">
        <f>'ts3 sviluppo'!L39</f>
        <v>-440000</v>
      </c>
      <c r="K18" s="38">
        <f>'ts3 sviluppo'!M39</f>
        <v>2860000</v>
      </c>
      <c r="L18" s="38">
        <f>'ts3 sviluppo'!N39</f>
        <v>22880000</v>
      </c>
      <c r="M18" s="38">
        <f>'ts3 sviluppo'!O39</f>
        <v>23680000</v>
      </c>
      <c r="N18" s="38">
        <f>'ts3 sviluppo'!R39</f>
        <v>13000000</v>
      </c>
    </row>
    <row r="113" spans="2:2" x14ac:dyDescent="0.25">
      <c r="B113" s="59" t="s">
        <v>0</v>
      </c>
    </row>
    <row r="114" spans="2:2" x14ac:dyDescent="0.25">
      <c r="B114" s="59" t="s">
        <v>139</v>
      </c>
    </row>
  </sheetData>
  <phoneticPr fontId="19" type="noConversion"/>
  <conditionalFormatting sqref="C3:M6">
    <cfRule type="dataBar" priority="1">
      <dataBar>
        <cfvo type="min"/>
        <cfvo type="max"/>
        <color rgb="FF638EC6"/>
      </dataBar>
    </cfRule>
  </conditionalFormatting>
  <conditionalFormatting sqref="N1:N4 C3:N7 D8:M12 C9:C12 C14:M18">
    <cfRule type="cellIs" dxfId="6" priority="3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22">
    <tabColor rgb="FF00B0F0"/>
  </sheetPr>
  <dimension ref="B2:K114"/>
  <sheetViews>
    <sheetView showGridLines="0" workbookViewId="0">
      <selection activeCell="B2" sqref="B2:H6"/>
    </sheetView>
  </sheetViews>
  <sheetFormatPr defaultColWidth="9.140625" defaultRowHeight="15" x14ac:dyDescent="0.25"/>
  <cols>
    <col min="1" max="1" width="9.140625" style="20"/>
    <col min="2" max="2" width="18.42578125" style="59" bestFit="1" customWidth="1"/>
    <col min="3" max="3" width="5.85546875" style="58" bestFit="1" customWidth="1"/>
    <col min="4" max="4" width="12.42578125" style="58" bestFit="1" customWidth="1"/>
    <col min="5" max="5" width="5.85546875" style="58" bestFit="1" customWidth="1"/>
    <col min="6" max="6" width="11.28515625" style="58" bestFit="1" customWidth="1"/>
    <col min="7" max="7" width="5.85546875" style="58" bestFit="1" customWidth="1"/>
    <col min="8" max="8" width="12.42578125" style="58" bestFit="1" customWidth="1"/>
    <col min="9" max="16384" width="9.140625" style="20"/>
  </cols>
  <sheetData>
    <row r="2" spans="2:11" ht="15.75" thickBot="1" x14ac:dyDescent="0.3">
      <c r="B2" s="48"/>
      <c r="C2" s="249"/>
      <c r="D2" s="249"/>
      <c r="E2" s="249" t="str">
        <f>'ts3 sviluppo'!G41</f>
        <v>IVA</v>
      </c>
      <c r="F2" s="249"/>
      <c r="G2" s="249" t="str">
        <f>'ts3 sviluppo'!I41</f>
        <v>Fideiussioni</v>
      </c>
      <c r="H2" s="249"/>
    </row>
    <row r="3" spans="2:11" ht="15.75" thickTop="1" x14ac:dyDescent="0.25">
      <c r="B3" s="50" t="str">
        <f>'ts3 sviluppo'!D42</f>
        <v>Vincolo LTV %</v>
      </c>
      <c r="C3" s="46">
        <f>'ts3 sviluppo'!E42</f>
        <v>0.6</v>
      </c>
      <c r="D3" s="37">
        <f>'ts3 sviluppo'!F42</f>
        <v>33000000</v>
      </c>
      <c r="E3" s="38"/>
      <c r="F3" s="38"/>
      <c r="G3" s="38"/>
      <c r="H3" s="38"/>
    </row>
    <row r="4" spans="2:11" x14ac:dyDescent="0.25">
      <c r="B4" s="50" t="str">
        <f>'ts3 sviluppo'!D43</f>
        <v>Vincolo LTC %</v>
      </c>
      <c r="C4" s="46">
        <f>'ts3 sviluppo'!E43</f>
        <v>1</v>
      </c>
      <c r="D4" s="37">
        <f>'ts3 sviluppo'!F43</f>
        <v>30000000</v>
      </c>
      <c r="E4" s="46">
        <f>'ts3 sviluppo'!G43</f>
        <v>1</v>
      </c>
      <c r="F4" s="37">
        <f>'ts3 sviluppo'!H43</f>
        <v>3000000</v>
      </c>
      <c r="G4" s="46">
        <f>'ts3 sviluppo'!I43</f>
        <v>1</v>
      </c>
      <c r="H4" s="37">
        <f>'ts3 sviluppo'!J43</f>
        <v>11000000</v>
      </c>
    </row>
    <row r="5" spans="2:11" x14ac:dyDescent="0.25">
      <c r="B5" s="51" t="str">
        <f>'ts3 sviluppo'!D44</f>
        <v>Importo Massimo</v>
      </c>
      <c r="C5" s="42"/>
      <c r="D5" s="39">
        <f>'ts3 sviluppo'!F44</f>
        <v>35000000</v>
      </c>
      <c r="E5" s="42"/>
      <c r="F5" s="39">
        <f>'ts3 sviluppo'!H44</f>
        <v>3500000</v>
      </c>
      <c r="G5" s="42"/>
      <c r="H5" s="39">
        <f>'ts3 sviluppo'!J44</f>
        <v>12000000</v>
      </c>
    </row>
    <row r="6" spans="2:11" x14ac:dyDescent="0.25">
      <c r="B6" s="89" t="str">
        <f>'ts3 sviluppo'!D45</f>
        <v>Importo finanziato</v>
      </c>
      <c r="C6" s="87"/>
      <c r="D6" s="87">
        <f>'ts3 sviluppo'!F45</f>
        <v>30000000</v>
      </c>
      <c r="E6" s="87"/>
      <c r="F6" s="87">
        <f>'ts3 sviluppo'!H45</f>
        <v>3000000</v>
      </c>
      <c r="G6" s="87"/>
      <c r="H6" s="87">
        <f>'ts3 sviluppo'!J45</f>
        <v>11000000</v>
      </c>
      <c r="I6" s="23"/>
      <c r="J6" s="23"/>
      <c r="K6" s="23"/>
    </row>
    <row r="113" spans="2:2" x14ac:dyDescent="0.25">
      <c r="B113" s="59" t="s">
        <v>0</v>
      </c>
    </row>
    <row r="114" spans="2:2" x14ac:dyDescent="0.25">
      <c r="B114" s="59" t="s">
        <v>139</v>
      </c>
    </row>
  </sheetData>
  <mergeCells count="3">
    <mergeCell ref="C2:D2"/>
    <mergeCell ref="E2:F2"/>
    <mergeCell ref="G2:H2"/>
  </mergeCells>
  <phoneticPr fontId="19" type="noConversion"/>
  <conditionalFormatting sqref="E2:E3 D2:D4 F2:F4 G2:H6 C5:C6 E5:E6 D6 F6">
    <cfRule type="cellIs" dxfId="5" priority="1" operator="equal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23">
    <tabColor rgb="FF00B0F0"/>
  </sheetPr>
  <dimension ref="B2:K114"/>
  <sheetViews>
    <sheetView showGridLines="0" workbookViewId="0">
      <selection activeCell="F6" sqref="B2:F6"/>
    </sheetView>
  </sheetViews>
  <sheetFormatPr defaultColWidth="9.140625" defaultRowHeight="15" x14ac:dyDescent="0.25"/>
  <cols>
    <col min="1" max="1" width="9.140625" style="20"/>
    <col min="2" max="2" width="22" style="59" bestFit="1" customWidth="1"/>
    <col min="3" max="3" width="11.140625" style="58" bestFit="1" customWidth="1"/>
    <col min="4" max="4" width="11.28515625" style="58" bestFit="1" customWidth="1"/>
    <col min="5" max="5" width="9.85546875" style="58" customWidth="1"/>
    <col min="6" max="6" width="11.28515625" style="58" bestFit="1" customWidth="1"/>
    <col min="7" max="16384" width="9.140625" style="20"/>
  </cols>
  <sheetData>
    <row r="2" spans="2:11" ht="15.75" thickBot="1" x14ac:dyDescent="0.3">
      <c r="B2" s="48" t="str">
        <f>'ts3 sviluppo'!D47</f>
        <v>Tassi</v>
      </c>
      <c r="C2" s="36" t="str">
        <f>'ts3 sviluppo'!E47</f>
        <v>Costruzioni</v>
      </c>
      <c r="D2" s="36" t="str">
        <f>'ts3 sviluppo'!F47</f>
        <v>Completato</v>
      </c>
      <c r="E2" s="36" t="str">
        <f>'ts3 sviluppo'!G47</f>
        <v>IVA</v>
      </c>
      <c r="F2" s="36" t="str">
        <f>'ts3 sviluppo'!H47</f>
        <v>Fideiussioni</v>
      </c>
      <c r="G2" s="27"/>
      <c r="H2" s="27"/>
    </row>
    <row r="3" spans="2:11" ht="15.75" thickTop="1" x14ac:dyDescent="0.25">
      <c r="B3" s="50" t="str">
        <f>'ts3 sviluppo'!D48</f>
        <v xml:space="preserve">Margine </v>
      </c>
      <c r="C3" s="57">
        <f>'ts3 sviluppo'!E48</f>
        <v>2.5000000000000001E-2</v>
      </c>
      <c r="D3" s="57">
        <f>'ts3 sviluppo'!F48</f>
        <v>1.7500000000000002E-2</v>
      </c>
      <c r="E3" s="90">
        <f>'ts3 sviluppo'!G48</f>
        <v>0.02</v>
      </c>
      <c r="F3" s="90">
        <f>'ts3 sviluppo'!H48</f>
        <v>0.01</v>
      </c>
      <c r="G3" s="27"/>
      <c r="H3" s="27"/>
    </row>
    <row r="4" spans="2:11" x14ac:dyDescent="0.25">
      <c r="B4" s="50" t="str">
        <f>'ts3 sviluppo'!D49</f>
        <v>Euribor 3 M</v>
      </c>
      <c r="C4" s="57">
        <f>'ts3 sviluppo'!E49</f>
        <v>2.5000000000000001E-2</v>
      </c>
      <c r="D4" s="57">
        <f>'ts3 sviluppo'!F49</f>
        <v>2.5000000000000001E-2</v>
      </c>
      <c r="E4" s="57">
        <f>'ts3 sviluppo'!G49</f>
        <v>2.5000000000000001E-2</v>
      </c>
      <c r="F4" s="57"/>
      <c r="G4" s="27"/>
      <c r="H4" s="21"/>
    </row>
    <row r="5" spans="2:11" x14ac:dyDescent="0.25">
      <c r="B5" s="49" t="str">
        <f>'ts3 sviluppo'!D50</f>
        <v>Tasso Finale annuale</v>
      </c>
      <c r="C5" s="90">
        <f>'ts3 sviluppo'!E50</f>
        <v>0.05</v>
      </c>
      <c r="D5" s="90">
        <f>'ts3 sviluppo'!F50</f>
        <v>4.2500000000000003E-2</v>
      </c>
      <c r="E5" s="90">
        <f>'ts3 sviluppo'!G50</f>
        <v>4.4999999999999998E-2</v>
      </c>
      <c r="F5" s="90">
        <f>'ts3 sviluppo'!H50</f>
        <v>0.01</v>
      </c>
      <c r="G5" s="27"/>
      <c r="H5" s="27"/>
    </row>
    <row r="6" spans="2:11" x14ac:dyDescent="0.25">
      <c r="B6" s="52" t="str">
        <f>'ts3 sviluppo'!D51</f>
        <v>Tasso Finale trimestrale</v>
      </c>
      <c r="C6" s="54">
        <f>'ts3 sviluppo'!E51</f>
        <v>1.2500000000000001E-2</v>
      </c>
      <c r="D6" s="54">
        <f>'ts3 sviluppo'!F51</f>
        <v>1.0625000000000001E-2</v>
      </c>
      <c r="E6" s="54">
        <f>'ts3 sviluppo'!G51</f>
        <v>1.125E-2</v>
      </c>
      <c r="F6" s="54">
        <f>'ts3 sviluppo'!H51</f>
        <v>2.5000000000000001E-3</v>
      </c>
      <c r="G6" s="23"/>
      <c r="H6" s="23"/>
      <c r="I6" s="23"/>
      <c r="J6" s="23"/>
      <c r="K6" s="23"/>
    </row>
    <row r="113" spans="2:2" x14ac:dyDescent="0.25">
      <c r="B113" s="59" t="s">
        <v>0</v>
      </c>
    </row>
    <row r="114" spans="2:2" x14ac:dyDescent="0.25">
      <c r="B114" s="59" t="s">
        <v>139</v>
      </c>
    </row>
  </sheetData>
  <phoneticPr fontId="19" type="noConversion"/>
  <conditionalFormatting sqref="D2:H3 G4:H5 C4:C6 E4:E6 D5 F5">
    <cfRule type="cellIs" dxfId="4" priority="1" operator="equal">
      <formula>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F0"/>
  </sheetPr>
  <dimension ref="B2:N114"/>
  <sheetViews>
    <sheetView showGridLines="0" topLeftCell="A3" workbookViewId="0">
      <selection activeCell="B2" sqref="B2:N31"/>
    </sheetView>
  </sheetViews>
  <sheetFormatPr defaultColWidth="8.85546875" defaultRowHeight="15" x14ac:dyDescent="0.25"/>
  <cols>
    <col min="1" max="1" width="8.85546875" style="20"/>
    <col min="2" max="2" width="23.85546875" style="59" bestFit="1" customWidth="1"/>
    <col min="3" max="4" width="3.28515625" style="59" hidden="1" customWidth="1"/>
    <col min="5" max="6" width="11.28515625" style="58" bestFit="1" customWidth="1"/>
    <col min="7" max="11" width="12.42578125" style="58" bestFit="1" customWidth="1"/>
    <col min="12" max="13" width="12.5703125" style="58" bestFit="1" customWidth="1"/>
    <col min="14" max="14" width="13.140625" style="58" bestFit="1" customWidth="1"/>
    <col min="15" max="16384" width="8.85546875" style="20"/>
  </cols>
  <sheetData>
    <row r="2" spans="2:14" ht="15.75" thickBot="1" x14ac:dyDescent="0.3">
      <c r="B2" s="48" t="str">
        <f>'ts3 sviluppo'!D62</f>
        <v>Linea Principale</v>
      </c>
      <c r="C2" s="36">
        <f>'ts3 sviluppo'!E62</f>
        <v>0</v>
      </c>
      <c r="D2" s="36">
        <f>'ts3 sviluppo'!F62</f>
        <v>1</v>
      </c>
      <c r="E2" s="36">
        <f>'ts3 sviluppo'!G62</f>
        <v>2</v>
      </c>
      <c r="F2" s="36">
        <f>'ts3 sviluppo'!H62</f>
        <v>3</v>
      </c>
      <c r="G2" s="36">
        <f>'ts3 sviluppo'!I62</f>
        <v>4</v>
      </c>
      <c r="H2" s="36">
        <f>'ts3 sviluppo'!J62</f>
        <v>5</v>
      </c>
      <c r="I2" s="36">
        <f>'ts3 sviluppo'!K62</f>
        <v>6</v>
      </c>
      <c r="J2" s="36">
        <f>'ts3 sviluppo'!L62</f>
        <v>7</v>
      </c>
      <c r="K2" s="36">
        <f>'ts3 sviluppo'!M62</f>
        <v>8</v>
      </c>
      <c r="L2" s="36">
        <f>'ts3 sviluppo'!N62</f>
        <v>9</v>
      </c>
      <c r="M2" s="36">
        <f>'ts3 sviluppo'!O62</f>
        <v>10</v>
      </c>
      <c r="N2" s="36" t="str">
        <f>'ts3 sviluppo'!R62</f>
        <v>Tot</v>
      </c>
    </row>
    <row r="3" spans="2:14" ht="15.75" thickTop="1" x14ac:dyDescent="0.25">
      <c r="B3" s="52" t="str">
        <f>'ts3 sviluppo'!D63</f>
        <v>Finanziamento Iniziale</v>
      </c>
      <c r="C3" s="40">
        <f>'ts3 sviluppo'!E63</f>
        <v>0</v>
      </c>
      <c r="D3" s="40">
        <f>'ts3 sviluppo'!F63</f>
        <v>0</v>
      </c>
      <c r="E3" s="40">
        <f>'ts3 sviluppo'!G63</f>
        <v>0</v>
      </c>
      <c r="F3" s="40">
        <f>'ts3 sviluppo'!H63</f>
        <v>3000000</v>
      </c>
      <c r="G3" s="40">
        <f>'ts3 sviluppo'!I63</f>
        <v>9000000</v>
      </c>
      <c r="H3" s="40">
        <f>'ts3 sviluppo'!J63</f>
        <v>15000000</v>
      </c>
      <c r="I3" s="40">
        <f>'ts3 sviluppo'!K63</f>
        <v>21000000</v>
      </c>
      <c r="J3" s="40">
        <f>'ts3 sviluppo'!L63</f>
        <v>27000000</v>
      </c>
      <c r="K3" s="40">
        <f>'ts3 sviluppo'!M63</f>
        <v>30000000</v>
      </c>
      <c r="L3" s="40">
        <f>'ts3 sviluppo'!N63</f>
        <v>30000000</v>
      </c>
      <c r="M3" s="40">
        <f>'ts3 sviluppo'!O63</f>
        <v>12000000</v>
      </c>
      <c r="N3" s="87"/>
    </row>
    <row r="4" spans="2:14" x14ac:dyDescent="0.25">
      <c r="B4" s="50" t="str">
        <f>'ts3 sviluppo'!D64</f>
        <v>Erogazione</v>
      </c>
      <c r="C4" s="37">
        <f>'ts3 sviluppo'!E64</f>
        <v>0</v>
      </c>
      <c r="D4" s="37">
        <f>'ts3 sviluppo'!F64</f>
        <v>0</v>
      </c>
      <c r="E4" s="37">
        <f>'ts3 sviluppo'!G64</f>
        <v>3000000</v>
      </c>
      <c r="F4" s="37">
        <f>'ts3 sviluppo'!H64</f>
        <v>6000000</v>
      </c>
      <c r="G4" s="37">
        <f>'ts3 sviluppo'!I64</f>
        <v>6000000</v>
      </c>
      <c r="H4" s="37">
        <f>'ts3 sviluppo'!J64</f>
        <v>6000000</v>
      </c>
      <c r="I4" s="37">
        <f>'ts3 sviluppo'!K64</f>
        <v>6000000</v>
      </c>
      <c r="J4" s="37">
        <f>'ts3 sviluppo'!L64</f>
        <v>3000000</v>
      </c>
      <c r="K4" s="37">
        <f>'ts3 sviluppo'!M64</f>
        <v>0</v>
      </c>
      <c r="L4" s="37">
        <f>'ts3 sviluppo'!N64</f>
        <v>0</v>
      </c>
      <c r="M4" s="37">
        <f>'ts3 sviluppo'!O64</f>
        <v>0</v>
      </c>
      <c r="N4" s="87">
        <f>'ts3 sviluppo'!R64</f>
        <v>30000000</v>
      </c>
    </row>
    <row r="5" spans="2:14" x14ac:dyDescent="0.25">
      <c r="B5" s="52" t="str">
        <f>'ts3 sviluppo'!D65</f>
        <v>Arrangement fee</v>
      </c>
      <c r="C5" s="37">
        <f>'ts3 sviluppo'!E65</f>
        <v>0</v>
      </c>
      <c r="D5" s="37">
        <f>'ts3 sviluppo'!F65</f>
        <v>0</v>
      </c>
      <c r="E5" s="37">
        <f>'ts3 sviluppo'!G65</f>
        <v>-300000</v>
      </c>
      <c r="F5" s="37">
        <f>'ts3 sviluppo'!H65</f>
        <v>0</v>
      </c>
      <c r="G5" s="37">
        <f>'ts3 sviluppo'!I65</f>
        <v>0</v>
      </c>
      <c r="H5" s="37">
        <f>'ts3 sviluppo'!J65</f>
        <v>0</v>
      </c>
      <c r="I5" s="37">
        <f>'ts3 sviluppo'!K65</f>
        <v>0</v>
      </c>
      <c r="J5" s="37">
        <f>'ts3 sviluppo'!L65</f>
        <v>0</v>
      </c>
      <c r="K5" s="37">
        <f>'ts3 sviluppo'!M65</f>
        <v>0</v>
      </c>
      <c r="L5" s="37">
        <f>'ts3 sviluppo'!N65</f>
        <v>0</v>
      </c>
      <c r="M5" s="37">
        <f>'ts3 sviluppo'!O65</f>
        <v>0</v>
      </c>
      <c r="N5" s="87">
        <f>'ts3 sviluppo'!R65</f>
        <v>-300000</v>
      </c>
    </row>
    <row r="6" spans="2:14" x14ac:dyDescent="0.25">
      <c r="B6" s="52" t="str">
        <f>'ts3 sviluppo'!D66</f>
        <v>Imposta sostitutiva</v>
      </c>
      <c r="C6" s="40">
        <f>'ts3 sviluppo'!E66</f>
        <v>0</v>
      </c>
      <c r="D6" s="40">
        <f>'ts3 sviluppo'!F66</f>
        <v>0</v>
      </c>
      <c r="E6" s="40">
        <f>'ts3 sviluppo'!G66</f>
        <v>-7500</v>
      </c>
      <c r="F6" s="40">
        <f>'ts3 sviluppo'!H66</f>
        <v>-15000</v>
      </c>
      <c r="G6" s="40">
        <f>'ts3 sviluppo'!I66</f>
        <v>-15000</v>
      </c>
      <c r="H6" s="40">
        <f>'ts3 sviluppo'!J66</f>
        <v>-15000</v>
      </c>
      <c r="I6" s="40">
        <f>'ts3 sviluppo'!K66</f>
        <v>-15000</v>
      </c>
      <c r="J6" s="40">
        <f>'ts3 sviluppo'!L66</f>
        <v>-7500</v>
      </c>
      <c r="K6" s="40">
        <f>'ts3 sviluppo'!M66</f>
        <v>0</v>
      </c>
      <c r="L6" s="40">
        <f>'ts3 sviluppo'!N66</f>
        <v>0</v>
      </c>
      <c r="M6" s="40">
        <f>'ts3 sviluppo'!O66</f>
        <v>0</v>
      </c>
      <c r="N6" s="87">
        <f>'ts3 sviluppo'!R66</f>
        <v>-75000</v>
      </c>
    </row>
    <row r="7" spans="2:14" x14ac:dyDescent="0.25">
      <c r="B7" s="50" t="str">
        <f>'ts3 sviluppo'!D67</f>
        <v>Rimborso</v>
      </c>
      <c r="C7" s="37">
        <f>'ts3 sviluppo'!E67</f>
        <v>0</v>
      </c>
      <c r="D7" s="37">
        <f>'ts3 sviluppo'!F67</f>
        <v>0</v>
      </c>
      <c r="E7" s="37">
        <f>'ts3 sviluppo'!G67</f>
        <v>0</v>
      </c>
      <c r="F7" s="37">
        <f>'ts3 sviluppo'!H67</f>
        <v>0</v>
      </c>
      <c r="G7" s="37">
        <f>'ts3 sviluppo'!I67</f>
        <v>0</v>
      </c>
      <c r="H7" s="37">
        <f>'ts3 sviluppo'!J67</f>
        <v>0</v>
      </c>
      <c r="I7" s="37">
        <f>'ts3 sviluppo'!K67</f>
        <v>0</v>
      </c>
      <c r="J7" s="37">
        <f>'ts3 sviluppo'!L67</f>
        <v>0</v>
      </c>
      <c r="K7" s="37">
        <f>'ts3 sviluppo'!M67</f>
        <v>0</v>
      </c>
      <c r="L7" s="37">
        <f>'ts3 sviluppo'!N67</f>
        <v>-18000000</v>
      </c>
      <c r="M7" s="37">
        <f>'ts3 sviluppo'!O67</f>
        <v>-12000000</v>
      </c>
      <c r="N7" s="87">
        <f>'ts3 sviluppo'!R67</f>
        <v>-30000000</v>
      </c>
    </row>
    <row r="8" spans="2:14" x14ac:dyDescent="0.25">
      <c r="B8" s="52" t="str">
        <f>'ts3 sviluppo'!D68</f>
        <v>Finanziamento Finale</v>
      </c>
      <c r="C8" s="40">
        <f>'ts3 sviluppo'!E68</f>
        <v>0</v>
      </c>
      <c r="D8" s="40">
        <f>'ts3 sviluppo'!F68</f>
        <v>0</v>
      </c>
      <c r="E8" s="40">
        <f>'ts3 sviluppo'!G68</f>
        <v>3000000</v>
      </c>
      <c r="F8" s="40">
        <f>'ts3 sviluppo'!H68</f>
        <v>9000000</v>
      </c>
      <c r="G8" s="40">
        <f>'ts3 sviluppo'!I68</f>
        <v>15000000</v>
      </c>
      <c r="H8" s="40">
        <f>'ts3 sviluppo'!J68</f>
        <v>21000000</v>
      </c>
      <c r="I8" s="40">
        <f>'ts3 sviluppo'!K68</f>
        <v>27000000</v>
      </c>
      <c r="J8" s="40">
        <f>'ts3 sviluppo'!L68</f>
        <v>30000000</v>
      </c>
      <c r="K8" s="40">
        <f>'ts3 sviluppo'!M68</f>
        <v>30000000</v>
      </c>
      <c r="L8" s="40">
        <f>'ts3 sviluppo'!N68</f>
        <v>12000000</v>
      </c>
      <c r="M8" s="40">
        <f>'ts3 sviluppo'!O68</f>
        <v>0</v>
      </c>
      <c r="N8" s="87"/>
    </row>
    <row r="9" spans="2:14" x14ac:dyDescent="0.25">
      <c r="B9" s="52" t="str">
        <f>'ts3 sviluppo'!D69</f>
        <v>Interessi Costruzione</v>
      </c>
      <c r="C9" s="40">
        <f>'ts3 sviluppo'!E69</f>
        <v>0</v>
      </c>
      <c r="D9" s="40">
        <f>'ts3 sviluppo'!F69</f>
        <v>0</v>
      </c>
      <c r="E9" s="40">
        <f>'ts3 sviluppo'!G69</f>
        <v>-37500</v>
      </c>
      <c r="F9" s="40">
        <f>'ts3 sviluppo'!H69</f>
        <v>-112500</v>
      </c>
      <c r="G9" s="40">
        <f>'ts3 sviluppo'!I69</f>
        <v>-187500</v>
      </c>
      <c r="H9" s="40">
        <f>'ts3 sviluppo'!J69</f>
        <v>-262500</v>
      </c>
      <c r="I9" s="40">
        <f>'ts3 sviluppo'!K69</f>
        <v>-337500</v>
      </c>
      <c r="J9" s="40">
        <f>'ts3 sviluppo'!L69</f>
        <v>-375000</v>
      </c>
      <c r="K9" s="40">
        <f>'ts3 sviluppo'!M69</f>
        <v>0</v>
      </c>
      <c r="L9" s="40">
        <f>'ts3 sviluppo'!N69</f>
        <v>0</v>
      </c>
      <c r="M9" s="40">
        <f>'ts3 sviluppo'!O69</f>
        <v>0</v>
      </c>
      <c r="N9" s="87">
        <f>'ts3 sviluppo'!R69</f>
        <v>-1312500</v>
      </c>
    </row>
    <row r="10" spans="2:14" x14ac:dyDescent="0.25">
      <c r="B10" s="52" t="str">
        <f>'ts3 sviluppo'!D70</f>
        <v>Interessi Completato</v>
      </c>
      <c r="C10" s="40">
        <f>'ts3 sviluppo'!E70</f>
        <v>0</v>
      </c>
      <c r="D10" s="40">
        <f>'ts3 sviluppo'!F70</f>
        <v>0</v>
      </c>
      <c r="E10" s="40">
        <f>'ts3 sviluppo'!G70</f>
        <v>0</v>
      </c>
      <c r="F10" s="40">
        <f>'ts3 sviluppo'!H70</f>
        <v>0</v>
      </c>
      <c r="G10" s="40">
        <f>'ts3 sviluppo'!I70</f>
        <v>0</v>
      </c>
      <c r="H10" s="40">
        <f>'ts3 sviluppo'!J70</f>
        <v>0</v>
      </c>
      <c r="I10" s="40">
        <f>'ts3 sviluppo'!K70</f>
        <v>0</v>
      </c>
      <c r="J10" s="40">
        <f>'ts3 sviluppo'!L70</f>
        <v>0</v>
      </c>
      <c r="K10" s="40">
        <f>'ts3 sviluppo'!M70</f>
        <v>-318750</v>
      </c>
      <c r="L10" s="40">
        <f>'ts3 sviluppo'!N70</f>
        <v>-127500.00000000001</v>
      </c>
      <c r="M10" s="40">
        <f>'ts3 sviluppo'!O70</f>
        <v>0</v>
      </c>
      <c r="N10" s="87">
        <f>'ts3 sviluppo'!R70</f>
        <v>-446250</v>
      </c>
    </row>
    <row r="11" spans="2:14" x14ac:dyDescent="0.25">
      <c r="B11" s="50" t="str">
        <f>'ts3 sviluppo'!D71</f>
        <v>Interessi Totale</v>
      </c>
      <c r="C11" s="37">
        <f>'ts3 sviluppo'!E71</f>
        <v>0</v>
      </c>
      <c r="D11" s="37">
        <f>'ts3 sviluppo'!F71</f>
        <v>0</v>
      </c>
      <c r="E11" s="37">
        <f>'ts3 sviluppo'!G71</f>
        <v>-37500</v>
      </c>
      <c r="F11" s="37">
        <f>'ts3 sviluppo'!H71</f>
        <v>-112500</v>
      </c>
      <c r="G11" s="37">
        <f>'ts3 sviluppo'!I71</f>
        <v>-187500</v>
      </c>
      <c r="H11" s="37">
        <f>'ts3 sviluppo'!J71</f>
        <v>-262500</v>
      </c>
      <c r="I11" s="37">
        <f>'ts3 sviluppo'!K71</f>
        <v>-337500</v>
      </c>
      <c r="J11" s="37">
        <f>'ts3 sviluppo'!L71</f>
        <v>-375000</v>
      </c>
      <c r="K11" s="37">
        <f>'ts3 sviluppo'!M71</f>
        <v>-318750</v>
      </c>
      <c r="L11" s="37">
        <f>'ts3 sviluppo'!N71</f>
        <v>-127500.00000000001</v>
      </c>
      <c r="M11" s="37">
        <f>'ts3 sviluppo'!O71</f>
        <v>0</v>
      </c>
      <c r="N11" s="87">
        <f>'ts3 sviluppo'!R71</f>
        <v>-1758750</v>
      </c>
    </row>
    <row r="12" spans="2:14" x14ac:dyDescent="0.25">
      <c r="B12" s="50" t="str">
        <f>'ts3 sviluppo'!D72</f>
        <v>Mancato Utilizzo</v>
      </c>
      <c r="C12" s="37">
        <f>'ts3 sviluppo'!E72</f>
        <v>0</v>
      </c>
      <c r="D12" s="37">
        <f>'ts3 sviluppo'!F72</f>
        <v>0</v>
      </c>
      <c r="E12" s="37">
        <f>'ts3 sviluppo'!G72</f>
        <v>0</v>
      </c>
      <c r="F12" s="37">
        <f>'ts3 sviluppo'!H72</f>
        <v>21000000</v>
      </c>
      <c r="G12" s="37">
        <f>'ts3 sviluppo'!I72</f>
        <v>15000000</v>
      </c>
      <c r="H12" s="37">
        <f>'ts3 sviluppo'!J72</f>
        <v>9000000</v>
      </c>
      <c r="I12" s="37">
        <f>'ts3 sviluppo'!K72</f>
        <v>3000000</v>
      </c>
      <c r="J12" s="37">
        <f>'ts3 sviluppo'!L72</f>
        <v>0</v>
      </c>
      <c r="K12" s="37">
        <f>'ts3 sviluppo'!M72</f>
        <v>0</v>
      </c>
      <c r="L12" s="37">
        <f>'ts3 sviluppo'!N72</f>
        <v>0</v>
      </c>
      <c r="M12" s="37">
        <f>'ts3 sviluppo'!O72</f>
        <v>0</v>
      </c>
      <c r="N12" s="87"/>
    </row>
    <row r="13" spans="2:14" x14ac:dyDescent="0.25">
      <c r="B13" s="51" t="str">
        <f>'ts3 sviluppo'!D73</f>
        <v>Commissione Mancato Ut.</v>
      </c>
      <c r="C13" s="39">
        <f>'ts3 sviluppo'!E73</f>
        <v>0</v>
      </c>
      <c r="D13" s="39">
        <f>'ts3 sviluppo'!F73</f>
        <v>0</v>
      </c>
      <c r="E13" s="39">
        <f>'ts3 sviluppo'!G73</f>
        <v>0</v>
      </c>
      <c r="F13" s="39">
        <f>'ts3 sviluppo'!H73</f>
        <v>-52304.265600743529</v>
      </c>
      <c r="G13" s="39">
        <f>'ts3 sviluppo'!I73</f>
        <v>-37360.189714816806</v>
      </c>
      <c r="H13" s="39">
        <f>'ts3 sviluppo'!J73</f>
        <v>-22416.113828890084</v>
      </c>
      <c r="I13" s="39">
        <f>'ts3 sviluppo'!K73</f>
        <v>-7472.0379429633613</v>
      </c>
      <c r="J13" s="39">
        <f>'ts3 sviluppo'!L73</f>
        <v>0</v>
      </c>
      <c r="K13" s="39">
        <f>'ts3 sviluppo'!M73</f>
        <v>0</v>
      </c>
      <c r="L13" s="39">
        <f>'ts3 sviluppo'!N73</f>
        <v>0</v>
      </c>
      <c r="M13" s="39">
        <f>'ts3 sviluppo'!O73</f>
        <v>0</v>
      </c>
      <c r="N13" s="88">
        <f>'ts3 sviluppo'!R73</f>
        <v>-119552.60708741378</v>
      </c>
    </row>
    <row r="14" spans="2:14" x14ac:dyDescent="0.25">
      <c r="B14" s="49" t="str">
        <f>'ts3 sviluppo'!D74</f>
        <v>Flusso Linea A1</v>
      </c>
      <c r="C14" s="38">
        <f>'ts3 sviluppo'!E74</f>
        <v>0</v>
      </c>
      <c r="D14" s="38">
        <f>'ts3 sviluppo'!F74</f>
        <v>0</v>
      </c>
      <c r="E14" s="38">
        <f>'ts3 sviluppo'!G74</f>
        <v>2662500</v>
      </c>
      <c r="F14" s="38">
        <f>'ts3 sviluppo'!H74</f>
        <v>5835195.7343992563</v>
      </c>
      <c r="G14" s="38">
        <f>'ts3 sviluppo'!I74</f>
        <v>5775139.8102851836</v>
      </c>
      <c r="H14" s="38">
        <f>'ts3 sviluppo'!J74</f>
        <v>5715083.88617111</v>
      </c>
      <c r="I14" s="38">
        <f>'ts3 sviluppo'!K74</f>
        <v>5655027.9620570363</v>
      </c>
      <c r="J14" s="38">
        <f>'ts3 sviluppo'!L74</f>
        <v>2625000</v>
      </c>
      <c r="K14" s="38">
        <f>'ts3 sviluppo'!M74</f>
        <v>-318750</v>
      </c>
      <c r="L14" s="38">
        <f>'ts3 sviluppo'!N74</f>
        <v>-18127500</v>
      </c>
      <c r="M14" s="38">
        <f>'ts3 sviluppo'!O74</f>
        <v>-12000000</v>
      </c>
      <c r="N14" s="87">
        <f>'ts3 sviluppo'!R74</f>
        <v>-2178302.6070874147</v>
      </c>
    </row>
    <row r="15" spans="2:14" ht="8.4499999999999993" customHeight="1" x14ac:dyDescent="0.25">
      <c r="B15" s="49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40"/>
    </row>
    <row r="16" spans="2:14" ht="15.75" thickBot="1" x14ac:dyDescent="0.3">
      <c r="B16" s="48" t="str">
        <f>'ts3 sviluppo'!D76</f>
        <v>Linea IVA</v>
      </c>
      <c r="C16" s="36">
        <f>'ts3 sviluppo'!E76</f>
        <v>0</v>
      </c>
      <c r="D16" s="36">
        <f>'ts3 sviluppo'!F76</f>
        <v>1</v>
      </c>
      <c r="E16" s="36">
        <f>'ts3 sviluppo'!G76</f>
        <v>2</v>
      </c>
      <c r="F16" s="36">
        <f>'ts3 sviluppo'!H76</f>
        <v>3</v>
      </c>
      <c r="G16" s="36">
        <f>'ts3 sviluppo'!I76</f>
        <v>4</v>
      </c>
      <c r="H16" s="36">
        <f>'ts3 sviluppo'!J76</f>
        <v>5</v>
      </c>
      <c r="I16" s="36">
        <f>'ts3 sviluppo'!K76</f>
        <v>6</v>
      </c>
      <c r="J16" s="36">
        <f>'ts3 sviluppo'!L76</f>
        <v>7</v>
      </c>
      <c r="K16" s="36">
        <f>'ts3 sviluppo'!M76</f>
        <v>8</v>
      </c>
      <c r="L16" s="36">
        <f>'ts3 sviluppo'!N76</f>
        <v>9</v>
      </c>
      <c r="M16" s="36">
        <f>'ts3 sviluppo'!O76</f>
        <v>10</v>
      </c>
      <c r="N16" s="36" t="str">
        <f>'ts3 sviluppo'!R76</f>
        <v>Tot</v>
      </c>
    </row>
    <row r="17" spans="2:14" ht="15.75" thickTop="1" x14ac:dyDescent="0.25">
      <c r="B17" s="52" t="str">
        <f>'ts3 sviluppo'!D77</f>
        <v>Finanziamento Iniziale</v>
      </c>
      <c r="C17" s="40">
        <f>'ts3 sviluppo'!E77</f>
        <v>0</v>
      </c>
      <c r="D17" s="40">
        <f>'ts3 sviluppo'!F77</f>
        <v>0</v>
      </c>
      <c r="E17" s="40">
        <f>'ts3 sviluppo'!G77</f>
        <v>0</v>
      </c>
      <c r="F17" s="40">
        <f>'ts3 sviluppo'!H77</f>
        <v>300000</v>
      </c>
      <c r="G17" s="40">
        <f>'ts3 sviluppo'!I77</f>
        <v>900000</v>
      </c>
      <c r="H17" s="40">
        <f>'ts3 sviluppo'!J77</f>
        <v>1456000</v>
      </c>
      <c r="I17" s="40">
        <f>'ts3 sviluppo'!K77</f>
        <v>1968000</v>
      </c>
      <c r="J17" s="40">
        <f>'ts3 sviluppo'!L77</f>
        <v>2480000</v>
      </c>
      <c r="K17" s="40">
        <f>'ts3 sviluppo'!M77</f>
        <v>2670000</v>
      </c>
      <c r="L17" s="40">
        <f>'ts3 sviluppo'!N77</f>
        <v>2560000</v>
      </c>
      <c r="M17" s="40">
        <f>'ts3 sviluppo'!O77</f>
        <v>1680000</v>
      </c>
      <c r="N17" s="87"/>
    </row>
    <row r="18" spans="2:14" x14ac:dyDescent="0.25">
      <c r="B18" s="50" t="str">
        <f>'ts3 sviluppo'!D78</f>
        <v>Erogazione</v>
      </c>
      <c r="C18" s="37">
        <f>'ts3 sviluppo'!E78</f>
        <v>0</v>
      </c>
      <c r="D18" s="37">
        <f>'ts3 sviluppo'!F78</f>
        <v>0</v>
      </c>
      <c r="E18" s="37">
        <f>'ts3 sviluppo'!G78</f>
        <v>300000</v>
      </c>
      <c r="F18" s="37">
        <f>'ts3 sviluppo'!H78</f>
        <v>600000</v>
      </c>
      <c r="G18" s="37">
        <f>'ts3 sviluppo'!I78</f>
        <v>556000</v>
      </c>
      <c r="H18" s="37">
        <f>'ts3 sviluppo'!J78</f>
        <v>512000</v>
      </c>
      <c r="I18" s="37">
        <f>'ts3 sviluppo'!K78</f>
        <v>512000</v>
      </c>
      <c r="J18" s="37">
        <f>'ts3 sviluppo'!L78</f>
        <v>190000</v>
      </c>
      <c r="K18" s="37">
        <f>'ts3 sviluppo'!M78</f>
        <v>0</v>
      </c>
      <c r="L18" s="37">
        <f>'ts3 sviluppo'!N78</f>
        <v>0</v>
      </c>
      <c r="M18" s="37">
        <f>'ts3 sviluppo'!O78</f>
        <v>0</v>
      </c>
      <c r="N18" s="87">
        <f>'ts3 sviluppo'!R78</f>
        <v>2670000</v>
      </c>
    </row>
    <row r="19" spans="2:14" x14ac:dyDescent="0.25">
      <c r="B19" s="52" t="str">
        <f>'ts3 sviluppo'!D79</f>
        <v>Arrangement fee</v>
      </c>
      <c r="C19" s="37">
        <f>'ts3 sviluppo'!E79</f>
        <v>0</v>
      </c>
      <c r="D19" s="37">
        <f>'ts3 sviluppo'!F79</f>
        <v>0</v>
      </c>
      <c r="E19" s="37">
        <f>'ts3 sviluppo'!G79</f>
        <v>-30000</v>
      </c>
      <c r="F19" s="37">
        <f>'ts3 sviluppo'!H79</f>
        <v>0</v>
      </c>
      <c r="G19" s="37">
        <f>'ts3 sviluppo'!I79</f>
        <v>0</v>
      </c>
      <c r="H19" s="37">
        <f>'ts3 sviluppo'!J79</f>
        <v>0</v>
      </c>
      <c r="I19" s="37">
        <f>'ts3 sviluppo'!K79</f>
        <v>0</v>
      </c>
      <c r="J19" s="37">
        <f>'ts3 sviluppo'!L79</f>
        <v>0</v>
      </c>
      <c r="K19" s="37">
        <f>'ts3 sviluppo'!M79</f>
        <v>0</v>
      </c>
      <c r="L19" s="37">
        <f>'ts3 sviluppo'!N79</f>
        <v>0</v>
      </c>
      <c r="M19" s="37">
        <f>'ts3 sviluppo'!O79</f>
        <v>0</v>
      </c>
      <c r="N19" s="87">
        <f>'ts3 sviluppo'!R79</f>
        <v>-30000</v>
      </c>
    </row>
    <row r="20" spans="2:14" x14ac:dyDescent="0.25">
      <c r="B20" s="50" t="str">
        <f>'ts3 sviluppo'!D80</f>
        <v>Imposta sostitutiva</v>
      </c>
      <c r="C20" s="37">
        <f>'ts3 sviluppo'!E80</f>
        <v>0</v>
      </c>
      <c r="D20" s="37">
        <f>'ts3 sviluppo'!F80</f>
        <v>0</v>
      </c>
      <c r="E20" s="37">
        <f>'ts3 sviluppo'!G80</f>
        <v>-750</v>
      </c>
      <c r="F20" s="37">
        <f>'ts3 sviluppo'!H80</f>
        <v>-1500</v>
      </c>
      <c r="G20" s="37">
        <f>'ts3 sviluppo'!I80</f>
        <v>-1390</v>
      </c>
      <c r="H20" s="37">
        <f>'ts3 sviluppo'!J80</f>
        <v>-1280</v>
      </c>
      <c r="I20" s="37">
        <f>'ts3 sviluppo'!K80</f>
        <v>-1280</v>
      </c>
      <c r="J20" s="37">
        <f>'ts3 sviluppo'!L80</f>
        <v>-475</v>
      </c>
      <c r="K20" s="37">
        <f>'ts3 sviluppo'!M80</f>
        <v>0</v>
      </c>
      <c r="L20" s="37">
        <f>'ts3 sviluppo'!N80</f>
        <v>0</v>
      </c>
      <c r="M20" s="37">
        <f>'ts3 sviluppo'!O80</f>
        <v>0</v>
      </c>
      <c r="N20" s="87">
        <f>'ts3 sviluppo'!R80</f>
        <v>-6675</v>
      </c>
    </row>
    <row r="21" spans="2:14" x14ac:dyDescent="0.25">
      <c r="B21" s="50" t="str">
        <f>'ts3 sviluppo'!D81</f>
        <v>Rimborso</v>
      </c>
      <c r="C21" s="37">
        <f>'ts3 sviluppo'!E81</f>
        <v>0</v>
      </c>
      <c r="D21" s="37">
        <f>'ts3 sviluppo'!F81</f>
        <v>0</v>
      </c>
      <c r="E21" s="37">
        <f>'ts3 sviluppo'!G81</f>
        <v>0</v>
      </c>
      <c r="F21" s="37">
        <f>'ts3 sviluppo'!H81</f>
        <v>0</v>
      </c>
      <c r="G21" s="37">
        <f>'ts3 sviluppo'!I81</f>
        <v>0</v>
      </c>
      <c r="H21" s="37">
        <f>'ts3 sviluppo'!J81</f>
        <v>0</v>
      </c>
      <c r="I21" s="37">
        <f>'ts3 sviluppo'!K81</f>
        <v>0</v>
      </c>
      <c r="J21" s="37">
        <f>'ts3 sviluppo'!L81</f>
        <v>0</v>
      </c>
      <c r="K21" s="37">
        <f>'ts3 sviluppo'!M81</f>
        <v>-110000</v>
      </c>
      <c r="L21" s="37">
        <f>'ts3 sviluppo'!N81</f>
        <v>-880000</v>
      </c>
      <c r="M21" s="37">
        <f>'ts3 sviluppo'!O81</f>
        <v>-1680000</v>
      </c>
      <c r="N21" s="87">
        <f>'ts3 sviluppo'!R81</f>
        <v>-2670000</v>
      </c>
    </row>
    <row r="22" spans="2:14" x14ac:dyDescent="0.25">
      <c r="B22" s="52" t="str">
        <f>'ts3 sviluppo'!D82</f>
        <v>Finanziamento Finale</v>
      </c>
      <c r="C22" s="40">
        <f>'ts3 sviluppo'!E82</f>
        <v>0</v>
      </c>
      <c r="D22" s="40">
        <f>'ts3 sviluppo'!F82</f>
        <v>0</v>
      </c>
      <c r="E22" s="40">
        <f>'ts3 sviluppo'!G82</f>
        <v>300000</v>
      </c>
      <c r="F22" s="40">
        <f>'ts3 sviluppo'!H82</f>
        <v>900000</v>
      </c>
      <c r="G22" s="40">
        <f>'ts3 sviluppo'!I82</f>
        <v>1456000</v>
      </c>
      <c r="H22" s="40">
        <f>'ts3 sviluppo'!J82</f>
        <v>1968000</v>
      </c>
      <c r="I22" s="40">
        <f>'ts3 sviluppo'!K82</f>
        <v>2480000</v>
      </c>
      <c r="J22" s="40">
        <f>'ts3 sviluppo'!L82</f>
        <v>2670000</v>
      </c>
      <c r="K22" s="40">
        <f>'ts3 sviluppo'!M82</f>
        <v>2560000</v>
      </c>
      <c r="L22" s="40">
        <f>'ts3 sviluppo'!N82</f>
        <v>1680000</v>
      </c>
      <c r="M22" s="40">
        <f>'ts3 sviluppo'!O82</f>
        <v>0</v>
      </c>
      <c r="N22" s="38"/>
    </row>
    <row r="23" spans="2:14" x14ac:dyDescent="0.25">
      <c r="B23" s="51" t="str">
        <f>'ts3 sviluppo'!D83</f>
        <v>Interessi</v>
      </c>
      <c r="C23" s="39">
        <f>'ts3 sviluppo'!E83</f>
        <v>0</v>
      </c>
      <c r="D23" s="39">
        <f>'ts3 sviluppo'!F83</f>
        <v>0</v>
      </c>
      <c r="E23" s="39">
        <f>'ts3 sviluppo'!G83</f>
        <v>0</v>
      </c>
      <c r="F23" s="39">
        <f>'ts3 sviluppo'!H83</f>
        <v>-3375</v>
      </c>
      <c r="G23" s="39">
        <f>'ts3 sviluppo'!I83</f>
        <v>-10125</v>
      </c>
      <c r="H23" s="39">
        <f>'ts3 sviluppo'!J83</f>
        <v>-16380</v>
      </c>
      <c r="I23" s="39">
        <f>'ts3 sviluppo'!K83</f>
        <v>-22140</v>
      </c>
      <c r="J23" s="39">
        <f>'ts3 sviluppo'!L83</f>
        <v>-27900</v>
      </c>
      <c r="K23" s="39">
        <f>'ts3 sviluppo'!M83</f>
        <v>-30037.5</v>
      </c>
      <c r="L23" s="39">
        <f>'ts3 sviluppo'!N83</f>
        <v>-28800</v>
      </c>
      <c r="M23" s="39">
        <f>'ts3 sviluppo'!O83</f>
        <v>-18900</v>
      </c>
      <c r="N23" s="88">
        <f>'ts3 sviluppo'!R83</f>
        <v>-157657.5</v>
      </c>
    </row>
    <row r="24" spans="2:14" x14ac:dyDescent="0.25">
      <c r="B24" s="49" t="str">
        <f>'ts3 sviluppo'!D84</f>
        <v>Flusso Linea IVA</v>
      </c>
      <c r="C24" s="38">
        <f>'ts3 sviluppo'!E84</f>
        <v>0</v>
      </c>
      <c r="D24" s="38">
        <f>'ts3 sviluppo'!F84</f>
        <v>0</v>
      </c>
      <c r="E24" s="38">
        <f>'ts3 sviluppo'!G84</f>
        <v>270000</v>
      </c>
      <c r="F24" s="38">
        <f>'ts3 sviluppo'!H84</f>
        <v>596625</v>
      </c>
      <c r="G24" s="38">
        <f>'ts3 sviluppo'!I84</f>
        <v>545875</v>
      </c>
      <c r="H24" s="38">
        <f>'ts3 sviluppo'!J84</f>
        <v>495620</v>
      </c>
      <c r="I24" s="38">
        <f>'ts3 sviluppo'!K84</f>
        <v>489860</v>
      </c>
      <c r="J24" s="38">
        <f>'ts3 sviluppo'!L84</f>
        <v>162100</v>
      </c>
      <c r="K24" s="38">
        <f>'ts3 sviluppo'!M84</f>
        <v>-140037.5</v>
      </c>
      <c r="L24" s="38">
        <f>'ts3 sviluppo'!N84</f>
        <v>-908800</v>
      </c>
      <c r="M24" s="38">
        <f>'ts3 sviluppo'!O84</f>
        <v>-1698900</v>
      </c>
      <c r="N24" s="87">
        <f>'ts3 sviluppo'!R84</f>
        <v>-187657.5</v>
      </c>
    </row>
    <row r="25" spans="2:14" ht="8.4499999999999993" customHeight="1" x14ac:dyDescent="0.25">
      <c r="B25" s="49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40"/>
    </row>
    <row r="26" spans="2:14" ht="15.75" thickBot="1" x14ac:dyDescent="0.3">
      <c r="B26" s="48" t="str">
        <f>'ts3 sviluppo'!D86</f>
        <v>Fideiussioni</v>
      </c>
      <c r="C26" s="36">
        <f>'ts3 sviluppo'!E86</f>
        <v>0</v>
      </c>
      <c r="D26" s="36">
        <f>'ts3 sviluppo'!F86</f>
        <v>1</v>
      </c>
      <c r="E26" s="36">
        <f>'ts3 sviluppo'!G86</f>
        <v>2</v>
      </c>
      <c r="F26" s="36">
        <f>'ts3 sviluppo'!H86</f>
        <v>3</v>
      </c>
      <c r="G26" s="36">
        <f>'ts3 sviluppo'!I86</f>
        <v>4</v>
      </c>
      <c r="H26" s="36">
        <f>'ts3 sviluppo'!J86</f>
        <v>5</v>
      </c>
      <c r="I26" s="36">
        <f>'ts3 sviluppo'!K86</f>
        <v>6</v>
      </c>
      <c r="J26" s="36">
        <f>'ts3 sviluppo'!L86</f>
        <v>7</v>
      </c>
      <c r="K26" s="36">
        <f>'ts3 sviluppo'!M86</f>
        <v>8</v>
      </c>
      <c r="L26" s="36">
        <f>'ts3 sviluppo'!N86</f>
        <v>9</v>
      </c>
      <c r="M26" s="36">
        <f>'ts3 sviluppo'!O86</f>
        <v>10</v>
      </c>
      <c r="N26" s="36" t="str">
        <f>'ts3 sviluppo'!R86</f>
        <v>Tot</v>
      </c>
    </row>
    <row r="27" spans="2:14" ht="15.75" thickTop="1" x14ac:dyDescent="0.25">
      <c r="B27" s="52" t="str">
        <f>'ts3 sviluppo'!D87</f>
        <v>Fideiussioni Iniziale</v>
      </c>
      <c r="C27" s="40">
        <f>'ts3 sviluppo'!E87</f>
        <v>0</v>
      </c>
      <c r="D27" s="40">
        <f>'ts3 sviluppo'!F87</f>
        <v>0</v>
      </c>
      <c r="E27" s="40">
        <f>'ts3 sviluppo'!G87</f>
        <v>0</v>
      </c>
      <c r="F27" s="40">
        <f>'ts3 sviluppo'!H87</f>
        <v>0</v>
      </c>
      <c r="G27" s="40">
        <f>'ts3 sviluppo'!I87</f>
        <v>0</v>
      </c>
      <c r="H27" s="40">
        <f>'ts3 sviluppo'!J87</f>
        <v>1100000</v>
      </c>
      <c r="I27" s="40">
        <f>'ts3 sviluppo'!K87</f>
        <v>3300000</v>
      </c>
      <c r="J27" s="40">
        <f>'ts3 sviluppo'!L87</f>
        <v>5500000</v>
      </c>
      <c r="K27" s="40">
        <f>'ts3 sviluppo'!M87</f>
        <v>8250000</v>
      </c>
      <c r="L27" s="40">
        <f>'ts3 sviluppo'!N87</f>
        <v>11000000</v>
      </c>
      <c r="M27" s="40">
        <f>'ts3 sviluppo'!O87</f>
        <v>5500000</v>
      </c>
      <c r="N27" s="87"/>
    </row>
    <row r="28" spans="2:14" x14ac:dyDescent="0.25">
      <c r="B28" s="50" t="str">
        <f>'ts3 sviluppo'!D88</f>
        <v>Fideiussioni</v>
      </c>
      <c r="C28" s="37">
        <f>'ts3 sviluppo'!E88</f>
        <v>0</v>
      </c>
      <c r="D28" s="37">
        <f>'ts3 sviluppo'!F88</f>
        <v>0</v>
      </c>
      <c r="E28" s="37">
        <f>'ts3 sviluppo'!G88</f>
        <v>0</v>
      </c>
      <c r="F28" s="37">
        <f>'ts3 sviluppo'!H88</f>
        <v>0</v>
      </c>
      <c r="G28" s="37">
        <f>'ts3 sviluppo'!I88</f>
        <v>1100000</v>
      </c>
      <c r="H28" s="37">
        <f>'ts3 sviluppo'!J88</f>
        <v>2200000</v>
      </c>
      <c r="I28" s="37">
        <f>'ts3 sviluppo'!K88</f>
        <v>2200000</v>
      </c>
      <c r="J28" s="37">
        <f>'ts3 sviluppo'!L88</f>
        <v>2750000</v>
      </c>
      <c r="K28" s="37">
        <f>'ts3 sviluppo'!M88</f>
        <v>2750000</v>
      </c>
      <c r="L28" s="37">
        <f>'ts3 sviluppo'!N88</f>
        <v>0</v>
      </c>
      <c r="M28" s="37">
        <f>'ts3 sviluppo'!O88</f>
        <v>0</v>
      </c>
      <c r="N28" s="87">
        <f>'ts3 sviluppo'!R88</f>
        <v>11000000</v>
      </c>
    </row>
    <row r="29" spans="2:14" x14ac:dyDescent="0.25">
      <c r="B29" s="50" t="str">
        <f>'ts3 sviluppo'!D89</f>
        <v>Scadenza</v>
      </c>
      <c r="C29" s="37">
        <f>'ts3 sviluppo'!E89</f>
        <v>0</v>
      </c>
      <c r="D29" s="37">
        <f>'ts3 sviluppo'!F89</f>
        <v>0</v>
      </c>
      <c r="E29" s="37">
        <f>'ts3 sviluppo'!G89</f>
        <v>0</v>
      </c>
      <c r="F29" s="37">
        <f>'ts3 sviluppo'!H89</f>
        <v>0</v>
      </c>
      <c r="G29" s="37">
        <f>'ts3 sviluppo'!I89</f>
        <v>0</v>
      </c>
      <c r="H29" s="37">
        <f>'ts3 sviluppo'!J89</f>
        <v>0</v>
      </c>
      <c r="I29" s="37">
        <f>'ts3 sviluppo'!K89</f>
        <v>0</v>
      </c>
      <c r="J29" s="37">
        <f>'ts3 sviluppo'!L89</f>
        <v>0</v>
      </c>
      <c r="K29" s="37">
        <f>'ts3 sviluppo'!M89</f>
        <v>0</v>
      </c>
      <c r="L29" s="37">
        <f>'ts3 sviluppo'!N89</f>
        <v>-5500000</v>
      </c>
      <c r="M29" s="37">
        <f>'ts3 sviluppo'!O89</f>
        <v>-5500000</v>
      </c>
      <c r="N29" s="87">
        <f>'ts3 sviluppo'!R89</f>
        <v>-11000000</v>
      </c>
    </row>
    <row r="30" spans="2:14" x14ac:dyDescent="0.25">
      <c r="B30" s="52" t="str">
        <f>'ts3 sviluppo'!D90</f>
        <v>Fideiussioni Finale</v>
      </c>
      <c r="C30" s="40">
        <f>'ts3 sviluppo'!E90</f>
        <v>0</v>
      </c>
      <c r="D30" s="40">
        <f>'ts3 sviluppo'!F90</f>
        <v>0</v>
      </c>
      <c r="E30" s="40">
        <f>'ts3 sviluppo'!G90</f>
        <v>0</v>
      </c>
      <c r="F30" s="40">
        <f>'ts3 sviluppo'!H90</f>
        <v>0</v>
      </c>
      <c r="G30" s="40">
        <f>'ts3 sviluppo'!I90</f>
        <v>1100000</v>
      </c>
      <c r="H30" s="40">
        <f>'ts3 sviluppo'!J90</f>
        <v>3300000</v>
      </c>
      <c r="I30" s="40">
        <f>'ts3 sviluppo'!K90</f>
        <v>5500000</v>
      </c>
      <c r="J30" s="40">
        <f>'ts3 sviluppo'!L90</f>
        <v>8250000</v>
      </c>
      <c r="K30" s="40">
        <f>'ts3 sviluppo'!M90</f>
        <v>11000000</v>
      </c>
      <c r="L30" s="40">
        <f>'ts3 sviluppo'!N90</f>
        <v>5500000</v>
      </c>
      <c r="M30" s="40">
        <f>'ts3 sviluppo'!O90</f>
        <v>0</v>
      </c>
      <c r="N30" s="87"/>
    </row>
    <row r="31" spans="2:14" x14ac:dyDescent="0.25">
      <c r="B31" s="50" t="str">
        <f>'ts3 sviluppo'!D91</f>
        <v xml:space="preserve">Costo </v>
      </c>
      <c r="C31" s="37">
        <f>'ts3 sviluppo'!E91</f>
        <v>0</v>
      </c>
      <c r="D31" s="37">
        <f>'ts3 sviluppo'!F91</f>
        <v>0</v>
      </c>
      <c r="E31" s="37">
        <f>'ts3 sviluppo'!G91</f>
        <v>0</v>
      </c>
      <c r="F31" s="37">
        <f>'ts3 sviluppo'!H91</f>
        <v>0</v>
      </c>
      <c r="G31" s="37">
        <f>'ts3 sviluppo'!I91</f>
        <v>-2750</v>
      </c>
      <c r="H31" s="37">
        <f>'ts3 sviluppo'!J91</f>
        <v>-8250</v>
      </c>
      <c r="I31" s="37">
        <f>'ts3 sviluppo'!K91</f>
        <v>-13750</v>
      </c>
      <c r="J31" s="37">
        <f>'ts3 sviluppo'!L91</f>
        <v>-20625</v>
      </c>
      <c r="K31" s="37">
        <f>'ts3 sviluppo'!M91</f>
        <v>-27500</v>
      </c>
      <c r="L31" s="37">
        <f>'ts3 sviluppo'!N91</f>
        <v>-13750</v>
      </c>
      <c r="M31" s="37">
        <f>'ts3 sviluppo'!O91</f>
        <v>0</v>
      </c>
      <c r="N31" s="87">
        <f>'ts3 sviluppo'!R91</f>
        <v>-86625</v>
      </c>
    </row>
    <row r="113" spans="2:2" x14ac:dyDescent="0.25">
      <c r="B113" s="59" t="s">
        <v>0</v>
      </c>
    </row>
    <row r="114" spans="2:2" x14ac:dyDescent="0.25">
      <c r="B114" s="59" t="s">
        <v>139</v>
      </c>
    </row>
  </sheetData>
  <conditionalFormatting sqref="C2:M31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oglio25">
    <tabColor rgb="FF00B0F0"/>
  </sheetPr>
  <dimension ref="A1:O115"/>
  <sheetViews>
    <sheetView showGridLines="0" workbookViewId="0">
      <selection activeCell="B2" sqref="B2:O15"/>
    </sheetView>
  </sheetViews>
  <sheetFormatPr defaultColWidth="9.140625" defaultRowHeight="15" x14ac:dyDescent="0.25"/>
  <cols>
    <col min="1" max="1" width="9.140625" style="20"/>
    <col min="2" max="2" width="29.28515625" style="59" bestFit="1" customWidth="1"/>
    <col min="3" max="3" width="12.5703125" style="58" bestFit="1" customWidth="1"/>
    <col min="4" max="4" width="3.28515625" style="58" bestFit="1" customWidth="1"/>
    <col min="5" max="7" width="10.140625" style="58" bestFit="1" customWidth="1"/>
    <col min="8" max="11" width="11.28515625" style="58" bestFit="1" customWidth="1"/>
    <col min="12" max="14" width="12.42578125" style="58" bestFit="1" customWidth="1"/>
    <col min="15" max="15" width="11.7109375" style="58" bestFit="1" customWidth="1"/>
    <col min="16" max="16384" width="9.140625" style="20"/>
  </cols>
  <sheetData>
    <row r="1" spans="1:15" x14ac:dyDescent="0.25">
      <c r="A1" s="20">
        <v>1</v>
      </c>
    </row>
    <row r="2" spans="1:15" ht="15.75" thickBot="1" x14ac:dyDescent="0.3">
      <c r="B2" s="48" t="str">
        <f>'ts3 sviluppo'!D94</f>
        <v>FLUSSI</v>
      </c>
      <c r="C2" s="36">
        <f>'ts3 sviluppo'!E94</f>
        <v>0</v>
      </c>
      <c r="D2" s="36">
        <f>'ts3 sviluppo'!F94</f>
        <v>1</v>
      </c>
      <c r="E2" s="36">
        <f>'ts3 sviluppo'!G94</f>
        <v>2</v>
      </c>
      <c r="F2" s="36">
        <f>'ts3 sviluppo'!H94</f>
        <v>3</v>
      </c>
      <c r="G2" s="36">
        <f>'ts3 sviluppo'!I94</f>
        <v>4</v>
      </c>
      <c r="H2" s="36">
        <f>'ts3 sviluppo'!J94</f>
        <v>5</v>
      </c>
      <c r="I2" s="36">
        <f>'ts3 sviluppo'!K94</f>
        <v>6</v>
      </c>
      <c r="J2" s="36">
        <f>'ts3 sviluppo'!L94</f>
        <v>7</v>
      </c>
      <c r="K2" s="36">
        <f>'ts3 sviluppo'!M94</f>
        <v>8</v>
      </c>
      <c r="L2" s="36">
        <f>'ts3 sviluppo'!N94</f>
        <v>9</v>
      </c>
      <c r="M2" s="36">
        <f>'ts3 sviluppo'!O94</f>
        <v>10</v>
      </c>
      <c r="N2" s="36" t="str">
        <f>'ts3 sviluppo'!R94</f>
        <v>Tot</v>
      </c>
      <c r="O2" s="36" t="str">
        <f>'ts3 sviluppo'!T94</f>
        <v>IRR Y</v>
      </c>
    </row>
    <row r="3" spans="1:15" ht="15.75" thickTop="1" x14ac:dyDescent="0.25">
      <c r="B3" s="50" t="str">
        <f>'ts3 sviluppo'!D95</f>
        <v>Flusso Immobiliare</v>
      </c>
      <c r="C3" s="37">
        <f>'ts3 sviluppo'!E95</f>
        <v>-12000000</v>
      </c>
      <c r="D3" s="37">
        <f>'ts3 sviluppo'!F95</f>
        <v>0</v>
      </c>
      <c r="E3" s="37">
        <f>'ts3 sviluppo'!G95</f>
        <v>-3000000</v>
      </c>
      <c r="F3" s="37">
        <f>'ts3 sviluppo'!H95</f>
        <v>-6000000</v>
      </c>
      <c r="G3" s="37">
        <f>'ts3 sviluppo'!I95</f>
        <v>-4900000</v>
      </c>
      <c r="H3" s="37">
        <f>'ts3 sviluppo'!J95</f>
        <v>-3800000</v>
      </c>
      <c r="I3" s="37">
        <f>'ts3 sviluppo'!K95</f>
        <v>-3800000</v>
      </c>
      <c r="J3" s="37">
        <f>'ts3 sviluppo'!L95</f>
        <v>-250000</v>
      </c>
      <c r="K3" s="37">
        <f>'ts3 sviluppo'!M95</f>
        <v>2750000</v>
      </c>
      <c r="L3" s="37">
        <f>'ts3 sviluppo'!N95</f>
        <v>22000000</v>
      </c>
      <c r="M3" s="37">
        <f>'ts3 sviluppo'!O95</f>
        <v>22000000</v>
      </c>
      <c r="N3" s="87">
        <f>'ts3 sviluppo'!R95</f>
        <v>13000000</v>
      </c>
      <c r="O3" s="90">
        <f>'ts3 sviluppo'!T95</f>
        <v>0.20677919868136496</v>
      </c>
    </row>
    <row r="4" spans="1:15" x14ac:dyDescent="0.25">
      <c r="B4" s="50" t="str">
        <f>'ts3 sviluppo'!D96</f>
        <v>Flusso Operativo con IVA</v>
      </c>
      <c r="C4" s="37">
        <f>'ts3 sviluppo'!E96</f>
        <v>-12000000</v>
      </c>
      <c r="D4" s="37">
        <f>'ts3 sviluppo'!F96</f>
        <v>0</v>
      </c>
      <c r="E4" s="37">
        <f>'ts3 sviluppo'!G96</f>
        <v>-3300000</v>
      </c>
      <c r="F4" s="37">
        <f>'ts3 sviluppo'!H96</f>
        <v>-6600000</v>
      </c>
      <c r="G4" s="37">
        <f>'ts3 sviluppo'!I96</f>
        <v>-5456000</v>
      </c>
      <c r="H4" s="37">
        <f>'ts3 sviluppo'!J96</f>
        <v>-4312000</v>
      </c>
      <c r="I4" s="37">
        <f>'ts3 sviluppo'!K96</f>
        <v>-4312000</v>
      </c>
      <c r="J4" s="37">
        <f>'ts3 sviluppo'!L96</f>
        <v>-440000</v>
      </c>
      <c r="K4" s="37">
        <f>'ts3 sviluppo'!M96</f>
        <v>2860000</v>
      </c>
      <c r="L4" s="37">
        <f>'ts3 sviluppo'!N96</f>
        <v>22880000</v>
      </c>
      <c r="M4" s="37">
        <f>'ts3 sviluppo'!O96</f>
        <v>23680000</v>
      </c>
      <c r="N4" s="87">
        <f>'ts3 sviluppo'!R96</f>
        <v>13000000</v>
      </c>
      <c r="O4" s="90">
        <f>'ts3 sviluppo'!T96</f>
        <v>0.19634199467704527</v>
      </c>
    </row>
    <row r="5" spans="1:15" x14ac:dyDescent="0.25">
      <c r="B5" s="50" t="str">
        <f>'ts3 sviluppo'!D97</f>
        <v>Flusso Linea Costruzione</v>
      </c>
      <c r="C5" s="37">
        <f>'ts3 sviluppo'!E97</f>
        <v>0</v>
      </c>
      <c r="D5" s="37">
        <f>'ts3 sviluppo'!F97</f>
        <v>0</v>
      </c>
      <c r="E5" s="37">
        <f>'ts3 sviluppo'!G97</f>
        <v>2662500</v>
      </c>
      <c r="F5" s="37">
        <f>'ts3 sviluppo'!H97</f>
        <v>5835195.7343992563</v>
      </c>
      <c r="G5" s="37">
        <f>'ts3 sviluppo'!I97</f>
        <v>5775139.8102851836</v>
      </c>
      <c r="H5" s="37">
        <f>'ts3 sviluppo'!J97</f>
        <v>5715083.88617111</v>
      </c>
      <c r="I5" s="37">
        <f>'ts3 sviluppo'!K97</f>
        <v>5655027.9620570363</v>
      </c>
      <c r="J5" s="37">
        <f>'ts3 sviluppo'!L97</f>
        <v>2625000</v>
      </c>
      <c r="K5" s="37">
        <f>'ts3 sviluppo'!M97</f>
        <v>-318750</v>
      </c>
      <c r="L5" s="37">
        <f>'ts3 sviluppo'!N97</f>
        <v>-18127500</v>
      </c>
      <c r="M5" s="37">
        <f>'ts3 sviluppo'!O97</f>
        <v>-12000000</v>
      </c>
      <c r="N5" s="87">
        <f>'ts3 sviluppo'!R97</f>
        <v>-2178302.6070874147</v>
      </c>
      <c r="O5" s="90">
        <f>'ts3 sviluppo'!T97</f>
        <v>6.2313688069551398E-2</v>
      </c>
    </row>
    <row r="6" spans="1:15" x14ac:dyDescent="0.25">
      <c r="B6" s="52" t="str">
        <f>'ts3 sviluppo'!D98</f>
        <v>Flusso Linea IVA</v>
      </c>
      <c r="C6" s="40">
        <f>'ts3 sviluppo'!E98</f>
        <v>0</v>
      </c>
      <c r="D6" s="40">
        <f>'ts3 sviluppo'!F98</f>
        <v>0</v>
      </c>
      <c r="E6" s="40">
        <f>'ts3 sviluppo'!G98</f>
        <v>270000</v>
      </c>
      <c r="F6" s="40">
        <f>'ts3 sviluppo'!H98</f>
        <v>596625</v>
      </c>
      <c r="G6" s="40">
        <f>'ts3 sviluppo'!I98</f>
        <v>545875</v>
      </c>
      <c r="H6" s="40">
        <f>'ts3 sviluppo'!J98</f>
        <v>495620</v>
      </c>
      <c r="I6" s="40">
        <f>'ts3 sviluppo'!K98</f>
        <v>489860</v>
      </c>
      <c r="J6" s="40">
        <f>'ts3 sviluppo'!L98</f>
        <v>162100</v>
      </c>
      <c r="K6" s="40">
        <f>'ts3 sviluppo'!M98</f>
        <v>-140037.5</v>
      </c>
      <c r="L6" s="37">
        <f>'ts3 sviluppo'!N98</f>
        <v>-908800</v>
      </c>
      <c r="M6" s="37">
        <f>'ts3 sviluppo'!O98</f>
        <v>-1698900</v>
      </c>
      <c r="N6" s="87">
        <f>'ts3 sviluppo'!R98</f>
        <v>-187657.5</v>
      </c>
      <c r="O6" s="90">
        <f>'ts3 sviluppo'!T98</f>
        <v>5.530295604249269E-2</v>
      </c>
    </row>
    <row r="7" spans="1:15" x14ac:dyDescent="0.25">
      <c r="B7" s="51" t="str">
        <f>'ts3 sviluppo'!D99</f>
        <v>Flusso Linea Fideiussioni</v>
      </c>
      <c r="C7" s="39">
        <f>'ts3 sviluppo'!E99</f>
        <v>0</v>
      </c>
      <c r="D7" s="39">
        <f>'ts3 sviluppo'!F99</f>
        <v>0</v>
      </c>
      <c r="E7" s="39">
        <f>'ts3 sviluppo'!G99</f>
        <v>0</v>
      </c>
      <c r="F7" s="39">
        <f>'ts3 sviluppo'!H99</f>
        <v>0</v>
      </c>
      <c r="G7" s="39">
        <f>'ts3 sviluppo'!I99</f>
        <v>-2750</v>
      </c>
      <c r="H7" s="39">
        <f>'ts3 sviluppo'!J99</f>
        <v>-8250</v>
      </c>
      <c r="I7" s="39">
        <f>'ts3 sviluppo'!K99</f>
        <v>-13750</v>
      </c>
      <c r="J7" s="39">
        <f>'ts3 sviluppo'!L99</f>
        <v>-20625</v>
      </c>
      <c r="K7" s="39">
        <f>'ts3 sviluppo'!M99</f>
        <v>-27500</v>
      </c>
      <c r="L7" s="39">
        <f>'ts3 sviluppo'!N99</f>
        <v>-13750</v>
      </c>
      <c r="M7" s="39">
        <f>'ts3 sviluppo'!O99</f>
        <v>0</v>
      </c>
      <c r="N7" s="88">
        <f>'ts3 sviluppo'!R99</f>
        <v>-86625</v>
      </c>
      <c r="O7" s="91"/>
    </row>
    <row r="8" spans="1:15" x14ac:dyDescent="0.25">
      <c r="B8" s="49" t="str">
        <f>'ts3 sviluppo'!D100</f>
        <v>Flusso Levered pre vincolo</v>
      </c>
      <c r="C8" s="38">
        <f>'ts3 sviluppo'!E100</f>
        <v>-12000000</v>
      </c>
      <c r="D8" s="38">
        <f>'ts3 sviluppo'!F100</f>
        <v>0</v>
      </c>
      <c r="E8" s="38">
        <f>'ts3 sviluppo'!G100</f>
        <v>-367500</v>
      </c>
      <c r="F8" s="38">
        <f>'ts3 sviluppo'!H100</f>
        <v>-168179.2656007437</v>
      </c>
      <c r="G8" s="38">
        <f>'ts3 sviluppo'!I100</f>
        <v>862264.8102851836</v>
      </c>
      <c r="H8" s="38">
        <f>'ts3 sviluppo'!J100</f>
        <v>1890453.88617111</v>
      </c>
      <c r="I8" s="38">
        <f>'ts3 sviluppo'!K100</f>
        <v>1819137.9620570363</v>
      </c>
      <c r="J8" s="38">
        <f>'ts3 sviluppo'!L100</f>
        <v>2326475</v>
      </c>
      <c r="K8" s="38">
        <f>'ts3 sviluppo'!M100</f>
        <v>2373712.5</v>
      </c>
      <c r="L8" s="38">
        <f>'ts3 sviluppo'!N100</f>
        <v>3829950</v>
      </c>
      <c r="M8" s="38">
        <f>'ts3 sviluppo'!O100</f>
        <v>9981100</v>
      </c>
      <c r="N8" s="87">
        <f>'ts3 sviluppo'!R100</f>
        <v>10547414.892912585</v>
      </c>
      <c r="O8" s="90">
        <f>'ts3 sviluppo'!T100</f>
        <v>0.34937943687003448</v>
      </c>
    </row>
    <row r="9" spans="1:15" ht="3" customHeight="1" x14ac:dyDescent="0.25">
      <c r="B9" s="49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87"/>
      <c r="O9" s="90"/>
    </row>
    <row r="10" spans="1:15" x14ac:dyDescent="0.25">
      <c r="B10" s="52" t="str">
        <f>'ts3 sviluppo'!D101</f>
        <v>Conto vincolato Iniziale</v>
      </c>
      <c r="C10" s="37">
        <f>'ts3 sviluppo'!E101</f>
        <v>0</v>
      </c>
      <c r="D10" s="40">
        <f>'ts3 sviluppo'!F101</f>
        <v>0</v>
      </c>
      <c r="E10" s="40">
        <f>'ts3 sviluppo'!G101</f>
        <v>0</v>
      </c>
      <c r="F10" s="40">
        <f>'ts3 sviluppo'!H101</f>
        <v>0</v>
      </c>
      <c r="G10" s="40">
        <f>'ts3 sviluppo'!I101</f>
        <v>0</v>
      </c>
      <c r="H10" s="40">
        <f>'ts3 sviluppo'!J101</f>
        <v>862264.8102851836</v>
      </c>
      <c r="I10" s="40">
        <f>'ts3 sviluppo'!K101</f>
        <v>2758058.0525595071</v>
      </c>
      <c r="J10" s="40">
        <f>'ts3 sviluppo'!L101</f>
        <v>4594274.5894583957</v>
      </c>
      <c r="K10" s="40">
        <f>'ts3 sviluppo'!M101</f>
        <v>6949198.4694039328</v>
      </c>
      <c r="L10" s="40">
        <f>'ts3 sviluppo'!N101</f>
        <v>9365942.1180922166</v>
      </c>
      <c r="M10" s="40">
        <f>'ts3 sviluppo'!O101</f>
        <v>13253888.338759093</v>
      </c>
      <c r="N10" s="87"/>
      <c r="O10" s="37"/>
    </row>
    <row r="11" spans="1:15" x14ac:dyDescent="0.25">
      <c r="B11" s="50" t="str">
        <f>'ts3 sviluppo'!D102</f>
        <v>Versamento</v>
      </c>
      <c r="C11" s="37">
        <f>'ts3 sviluppo'!E102</f>
        <v>0</v>
      </c>
      <c r="D11" s="37">
        <f>'ts3 sviluppo'!F102</f>
        <v>0</v>
      </c>
      <c r="E11" s="37">
        <f>'ts3 sviluppo'!G102</f>
        <v>0</v>
      </c>
      <c r="F11" s="37">
        <f>'ts3 sviluppo'!H102</f>
        <v>0</v>
      </c>
      <c r="G11" s="37">
        <f>'ts3 sviluppo'!I102</f>
        <v>862264.8102851836</v>
      </c>
      <c r="H11" s="37">
        <f>'ts3 sviluppo'!J102</f>
        <v>1890453.88617111</v>
      </c>
      <c r="I11" s="37">
        <f>'ts3 sviluppo'!K102</f>
        <v>1819137.9620570363</v>
      </c>
      <c r="J11" s="37">
        <f>'ts3 sviluppo'!L102</f>
        <v>2326475</v>
      </c>
      <c r="K11" s="37">
        <f>'ts3 sviluppo'!M102</f>
        <v>2373712.5</v>
      </c>
      <c r="L11" s="37">
        <f>'ts3 sviluppo'!N102</f>
        <v>3829950</v>
      </c>
      <c r="M11" s="37">
        <f>'ts3 sviluppo'!O102</f>
        <v>0</v>
      </c>
      <c r="N11" s="87">
        <f>'ts3 sviluppo'!R102</f>
        <v>13101994.15851333</v>
      </c>
      <c r="O11" s="37"/>
    </row>
    <row r="12" spans="1:15" x14ac:dyDescent="0.25">
      <c r="B12" s="50" t="str">
        <f>'ts3 sviluppo'!D103</f>
        <v>Interessi</v>
      </c>
      <c r="C12" s="37">
        <f>'ts3 sviluppo'!E103</f>
        <v>0</v>
      </c>
      <c r="D12" s="37">
        <f>'ts3 sviluppo'!F103</f>
        <v>0</v>
      </c>
      <c r="E12" s="37">
        <f>'ts3 sviluppo'!G103</f>
        <v>0</v>
      </c>
      <c r="F12" s="37">
        <f>'ts3 sviluppo'!H103</f>
        <v>0</v>
      </c>
      <c r="G12" s="37">
        <f>'ts3 sviluppo'!I103</f>
        <v>0</v>
      </c>
      <c r="H12" s="37">
        <f>'ts3 sviluppo'!J103</f>
        <v>5339.356103213725</v>
      </c>
      <c r="I12" s="37">
        <f>'ts3 sviluppo'!K103</f>
        <v>17078.574841852627</v>
      </c>
      <c r="J12" s="37">
        <f>'ts3 sviluppo'!L103</f>
        <v>28448.879945536988</v>
      </c>
      <c r="K12" s="37">
        <f>'ts3 sviluppo'!M103</f>
        <v>43031.148688282417</v>
      </c>
      <c r="L12" s="37">
        <f>'ts3 sviluppo'!N103</f>
        <v>57996.22066687679</v>
      </c>
      <c r="M12" s="37">
        <f>'ts3 sviluppo'!O103</f>
        <v>82071.341366071953</v>
      </c>
      <c r="N12" s="87">
        <f>'ts3 sviluppo'!R103</f>
        <v>233965.5216118345</v>
      </c>
      <c r="O12" s="37"/>
    </row>
    <row r="13" spans="1:15" x14ac:dyDescent="0.25">
      <c r="B13" s="50" t="str">
        <f>'ts3 sviluppo'!D104</f>
        <v>Prelievo</v>
      </c>
      <c r="C13" s="37">
        <f>'ts3 sviluppo'!E104</f>
        <v>0</v>
      </c>
      <c r="D13" s="37">
        <f>'ts3 sviluppo'!F104</f>
        <v>0</v>
      </c>
      <c r="E13" s="37">
        <f>'ts3 sviluppo'!G104</f>
        <v>0</v>
      </c>
      <c r="F13" s="37">
        <f>'ts3 sviluppo'!H104</f>
        <v>0</v>
      </c>
      <c r="G13" s="37">
        <f>'ts3 sviluppo'!I104</f>
        <v>0</v>
      </c>
      <c r="H13" s="37">
        <f>'ts3 sviluppo'!J104</f>
        <v>0</v>
      </c>
      <c r="I13" s="37">
        <f>'ts3 sviluppo'!K104</f>
        <v>0</v>
      </c>
      <c r="J13" s="37">
        <f>'ts3 sviluppo'!L104</f>
        <v>0</v>
      </c>
      <c r="K13" s="37">
        <f>'ts3 sviluppo'!M104</f>
        <v>0</v>
      </c>
      <c r="L13" s="37">
        <f>'ts3 sviluppo'!N104</f>
        <v>0</v>
      </c>
      <c r="M13" s="37">
        <f>'ts3 sviluppo'!O104</f>
        <v>13335959.680125164</v>
      </c>
      <c r="N13" s="87">
        <f>'ts3 sviluppo'!R104</f>
        <v>13335959.680125164</v>
      </c>
      <c r="O13" s="37"/>
    </row>
    <row r="14" spans="1:15" x14ac:dyDescent="0.25">
      <c r="B14" s="52" t="str">
        <f>'ts3 sviluppo'!D105</f>
        <v>Conto vincolato Finale</v>
      </c>
      <c r="C14" s="43">
        <f>'ts3 sviluppo'!E105</f>
        <v>0</v>
      </c>
      <c r="D14" s="43">
        <f>'ts3 sviluppo'!F105</f>
        <v>0</v>
      </c>
      <c r="E14" s="43">
        <f>'ts3 sviluppo'!G105</f>
        <v>0</v>
      </c>
      <c r="F14" s="43">
        <f>'ts3 sviluppo'!H105</f>
        <v>0</v>
      </c>
      <c r="G14" s="43">
        <f>'ts3 sviluppo'!I105</f>
        <v>862264.8102851836</v>
      </c>
      <c r="H14" s="43">
        <f>'ts3 sviluppo'!J105</f>
        <v>2758058.0525595071</v>
      </c>
      <c r="I14" s="43">
        <f>'ts3 sviluppo'!K105</f>
        <v>4594274.5894583957</v>
      </c>
      <c r="J14" s="43">
        <f>'ts3 sviluppo'!L105</f>
        <v>6949198.4694039328</v>
      </c>
      <c r="K14" s="43">
        <f>'ts3 sviluppo'!M105</f>
        <v>9365942.1180922166</v>
      </c>
      <c r="L14" s="43">
        <f>'ts3 sviluppo'!N105</f>
        <v>13253888.338759093</v>
      </c>
      <c r="M14" s="43">
        <f>'ts3 sviluppo'!O105</f>
        <v>6.9849193096160889E-10</v>
      </c>
      <c r="N14" s="42"/>
      <c r="O14" s="39"/>
    </row>
    <row r="15" spans="1:15" x14ac:dyDescent="0.25">
      <c r="B15" s="49" t="str">
        <f>'ts3 sviluppo'!D106</f>
        <v>Flusso Levered Libero Azionista</v>
      </c>
      <c r="C15" s="38">
        <f>'ts3 sviluppo'!E106</f>
        <v>-12000000</v>
      </c>
      <c r="D15" s="38">
        <f>'ts3 sviluppo'!F106</f>
        <v>0</v>
      </c>
      <c r="E15" s="38">
        <f>'ts3 sviluppo'!G106</f>
        <v>-367500</v>
      </c>
      <c r="F15" s="38">
        <f>'ts3 sviluppo'!H106</f>
        <v>-168179.2656007437</v>
      </c>
      <c r="G15" s="38">
        <f>'ts3 sviluppo'!I106</f>
        <v>0</v>
      </c>
      <c r="H15" s="38">
        <f>'ts3 sviluppo'!J106</f>
        <v>0</v>
      </c>
      <c r="I15" s="38">
        <f>'ts3 sviluppo'!K106</f>
        <v>0</v>
      </c>
      <c r="J15" s="38">
        <f>'ts3 sviluppo'!L106</f>
        <v>0</v>
      </c>
      <c r="K15" s="38">
        <f>'ts3 sviluppo'!M106</f>
        <v>0</v>
      </c>
      <c r="L15" s="38">
        <f>'ts3 sviluppo'!N106</f>
        <v>0</v>
      </c>
      <c r="M15" s="38">
        <f>'ts3 sviluppo'!O106</f>
        <v>23317059.680125162</v>
      </c>
      <c r="N15" s="87">
        <f>'ts3 sviluppo'!R106</f>
        <v>10781380.414524417</v>
      </c>
      <c r="O15" s="90">
        <f>'ts3 sviluppo'!T106</f>
        <v>0.28473086959199789</v>
      </c>
    </row>
    <row r="114" spans="2:2" x14ac:dyDescent="0.25">
      <c r="B114" s="59" t="s">
        <v>0</v>
      </c>
    </row>
    <row r="115" spans="2:2" x14ac:dyDescent="0.25">
      <c r="B115" s="59" t="s">
        <v>139</v>
      </c>
    </row>
  </sheetData>
  <phoneticPr fontId="19" type="noConversion"/>
  <conditionalFormatting sqref="C2:M15">
    <cfRule type="cellIs" dxfId="2" priority="1" operator="equal">
      <formula>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oglio26">
    <tabColor rgb="FF00B0F0"/>
  </sheetPr>
  <dimension ref="A1:L114"/>
  <sheetViews>
    <sheetView showGridLines="0" workbookViewId="0">
      <selection activeCell="K6" sqref="B2:K6"/>
    </sheetView>
  </sheetViews>
  <sheetFormatPr defaultColWidth="9.140625" defaultRowHeight="15" x14ac:dyDescent="0.25"/>
  <cols>
    <col min="1" max="1" width="9.140625" style="20"/>
    <col min="2" max="2" width="41.85546875" style="59" bestFit="1" customWidth="1"/>
    <col min="3" max="12" width="10.42578125" style="58" bestFit="1" customWidth="1"/>
    <col min="13" max="16384" width="9.140625" style="20"/>
  </cols>
  <sheetData>
    <row r="1" spans="1:12" x14ac:dyDescent="0.25">
      <c r="A1" s="20">
        <v>1</v>
      </c>
      <c r="L1"/>
    </row>
    <row r="2" spans="1:12" ht="15.75" thickBot="1" x14ac:dyDescent="0.3">
      <c r="B2" s="92"/>
      <c r="C2" s="93">
        <f>'ts3 sviluppo'!F94</f>
        <v>1</v>
      </c>
      <c r="D2" s="93">
        <f>'ts3 sviluppo'!G94</f>
        <v>2</v>
      </c>
      <c r="E2" s="93">
        <f>'ts3 sviluppo'!H94</f>
        <v>3</v>
      </c>
      <c r="F2" s="93">
        <f>'ts3 sviluppo'!I94</f>
        <v>4</v>
      </c>
      <c r="G2" s="93">
        <f>'ts3 sviluppo'!J94</f>
        <v>5</v>
      </c>
      <c r="H2" s="93">
        <f>'ts3 sviluppo'!K94</f>
        <v>6</v>
      </c>
      <c r="I2" s="93">
        <f>'ts3 sviluppo'!L94</f>
        <v>7</v>
      </c>
      <c r="J2" s="93">
        <f>'ts3 sviluppo'!M94</f>
        <v>8</v>
      </c>
      <c r="K2" s="93">
        <f>'ts3 sviluppo'!N94</f>
        <v>9</v>
      </c>
      <c r="L2"/>
    </row>
    <row r="3" spans="1:12" ht="15.75" thickTop="1" x14ac:dyDescent="0.25">
      <c r="B3" s="50" t="str">
        <f>'ts3 sviluppo'!D108</f>
        <v>Debito</v>
      </c>
      <c r="C3" s="37">
        <f>'ts3 sviluppo'!F108</f>
        <v>0</v>
      </c>
      <c r="D3" s="37">
        <f>'ts3 sviluppo'!G108</f>
        <v>3000000</v>
      </c>
      <c r="E3" s="37">
        <f>'ts3 sviluppo'!H108</f>
        <v>9000000</v>
      </c>
      <c r="F3" s="37">
        <f>'ts3 sviluppo'!I108</f>
        <v>15000000</v>
      </c>
      <c r="G3" s="37">
        <f>'ts3 sviluppo'!J108</f>
        <v>21000000</v>
      </c>
      <c r="H3" s="37">
        <f>'ts3 sviluppo'!K108</f>
        <v>27000000</v>
      </c>
      <c r="I3" s="37">
        <f>'ts3 sviluppo'!L108</f>
        <v>30000000</v>
      </c>
      <c r="J3" s="37">
        <f>'ts3 sviluppo'!M108</f>
        <v>30000000</v>
      </c>
      <c r="K3" s="37">
        <f>'ts3 sviluppo'!N108</f>
        <v>12000000</v>
      </c>
      <c r="L3"/>
    </row>
    <row r="4" spans="1:12" x14ac:dyDescent="0.25">
      <c r="B4" s="50" t="str">
        <f>'ts3 sviluppo'!D115</f>
        <v>Valore di mercato Medio ponderato costruzione</v>
      </c>
      <c r="C4" s="37">
        <f>'ts3 sviluppo'!F115</f>
        <v>12000000</v>
      </c>
      <c r="D4" s="37">
        <f>'ts3 sviluppo'!G115</f>
        <v>16000000</v>
      </c>
      <c r="E4" s="37">
        <f>'ts3 sviluppo'!H115</f>
        <v>23100000</v>
      </c>
      <c r="F4" s="37">
        <f>'ts3 sviluppo'!I115</f>
        <v>30500000</v>
      </c>
      <c r="G4" s="37">
        <f>'ts3 sviluppo'!J115</f>
        <v>37900000</v>
      </c>
      <c r="H4" s="37">
        <f>'ts3 sviluppo'!K115</f>
        <v>45299999.999999993</v>
      </c>
      <c r="I4" s="37">
        <f>'ts3 sviluppo'!L115</f>
        <v>52000000</v>
      </c>
      <c r="J4" s="37">
        <f>'ts3 sviluppo'!M115</f>
        <v>55000000</v>
      </c>
      <c r="K4" s="37">
        <f>'ts3 sviluppo'!N115</f>
        <v>27500000</v>
      </c>
      <c r="L4"/>
    </row>
    <row r="5" spans="1:12" x14ac:dyDescent="0.25">
      <c r="B5" s="49" t="str">
        <f>'ts3 sviluppo'!D116</f>
        <v>LTV</v>
      </c>
      <c r="C5" s="90" t="str">
        <f>'ts3 sviluppo'!F116</f>
        <v/>
      </c>
      <c r="D5" s="90">
        <f>'ts3 sviluppo'!G116</f>
        <v>0.1875</v>
      </c>
      <c r="E5" s="90">
        <f>'ts3 sviluppo'!H116</f>
        <v>0.38961038961038963</v>
      </c>
      <c r="F5" s="90">
        <f>'ts3 sviluppo'!I116</f>
        <v>0.49180327868852458</v>
      </c>
      <c r="G5" s="90">
        <f>'ts3 sviluppo'!J116</f>
        <v>0.55408970976253302</v>
      </c>
      <c r="H5" s="90">
        <f>'ts3 sviluppo'!K116</f>
        <v>0.59602649006622521</v>
      </c>
      <c r="I5" s="90">
        <f>'ts3 sviluppo'!L116</f>
        <v>0.57692307692307687</v>
      </c>
      <c r="J5" s="90">
        <f>'ts3 sviluppo'!M116</f>
        <v>0.54545454545454541</v>
      </c>
      <c r="K5" s="90">
        <f>'ts3 sviluppo'!N116</f>
        <v>0.43636363636363634</v>
      </c>
      <c r="L5"/>
    </row>
    <row r="6" spans="1:12" x14ac:dyDescent="0.25">
      <c r="B6" s="52" t="str">
        <f>'ts3 sviluppo'!D117</f>
        <v>Covenant Test</v>
      </c>
      <c r="C6" s="40" t="str">
        <f>'ts3 sviluppo'!F117</f>
        <v/>
      </c>
      <c r="D6" s="40" t="str">
        <f>'ts3 sviluppo'!G117</f>
        <v>OK</v>
      </c>
      <c r="E6" s="40" t="str">
        <f>'ts3 sviluppo'!H117</f>
        <v>OK</v>
      </c>
      <c r="F6" s="40" t="str">
        <f>'ts3 sviluppo'!I117</f>
        <v>OK</v>
      </c>
      <c r="G6" s="40" t="str">
        <f>'ts3 sviluppo'!J117</f>
        <v>OK</v>
      </c>
      <c r="H6" s="40" t="str">
        <f>'ts3 sviluppo'!K117</f>
        <v>OK</v>
      </c>
      <c r="I6" s="40" t="str">
        <f>'ts3 sviluppo'!L117</f>
        <v>OK</v>
      </c>
      <c r="J6" s="40" t="str">
        <f>'ts3 sviluppo'!M117</f>
        <v>OK</v>
      </c>
      <c r="K6" s="40" t="str">
        <f>'ts3 sviluppo'!N117</f>
        <v>OK</v>
      </c>
      <c r="L6"/>
    </row>
    <row r="8" spans="1:12" x14ac:dyDescent="0.25">
      <c r="B8" s="50"/>
    </row>
    <row r="9" spans="1:12" x14ac:dyDescent="0.25">
      <c r="B9" s="50"/>
    </row>
    <row r="10" spans="1:12" x14ac:dyDescent="0.25">
      <c r="B10" s="50"/>
    </row>
    <row r="11" spans="1:12" x14ac:dyDescent="0.25">
      <c r="B11" s="50"/>
    </row>
    <row r="12" spans="1:12" x14ac:dyDescent="0.25">
      <c r="B12" s="50"/>
    </row>
    <row r="13" spans="1:12" x14ac:dyDescent="0.25">
      <c r="B13" s="50"/>
    </row>
    <row r="113" spans="2:2" x14ac:dyDescent="0.25">
      <c r="B113" s="59" t="s">
        <v>0</v>
      </c>
    </row>
    <row r="114" spans="2:2" x14ac:dyDescent="0.25">
      <c r="B114" s="59" t="s">
        <v>139</v>
      </c>
    </row>
  </sheetData>
  <phoneticPr fontId="19" type="noConversion"/>
  <conditionalFormatting sqref="C4:K4">
    <cfRule type="cellIs" dxfId="1" priority="3" operator="equal">
      <formula>0</formula>
    </cfRule>
  </conditionalFormatting>
  <conditionalFormatting sqref="C6:K6">
    <cfRule type="cellIs" dxfId="0" priority="2" operator="equal">
      <formula>"no"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3">
    <tabColor rgb="FFFFC000"/>
  </sheetPr>
  <dimension ref="B2:I6"/>
  <sheetViews>
    <sheetView showGridLines="0" workbookViewId="0">
      <selection activeCell="B2" sqref="B2:C6"/>
    </sheetView>
  </sheetViews>
  <sheetFormatPr defaultColWidth="8.85546875" defaultRowHeight="15" x14ac:dyDescent="0.25"/>
  <cols>
    <col min="1" max="1" width="8.85546875" style="21"/>
    <col min="2" max="2" width="38" style="50" bestFit="1" customWidth="1"/>
    <col min="3" max="3" width="11.7109375" style="37" bestFit="1" customWidth="1"/>
    <col min="4" max="4" width="11.28515625" style="21" bestFit="1" customWidth="1"/>
    <col min="5" max="5" width="12" style="21" bestFit="1" customWidth="1"/>
    <col min="6" max="8" width="11.28515625" style="21" bestFit="1" customWidth="1"/>
    <col min="9" max="16384" width="8.85546875" style="21"/>
  </cols>
  <sheetData>
    <row r="2" spans="2:9" x14ac:dyDescent="0.25">
      <c r="B2" s="208" t="str">
        <f>'ts1 reddito'!F5</f>
        <v>Prezzo di acquisto dell'immobile</v>
      </c>
      <c r="C2" s="212">
        <f>'ts1 reddito'!G5</f>
        <v>70000000</v>
      </c>
    </row>
    <row r="3" spans="2:9" x14ac:dyDescent="0.25">
      <c r="B3" s="209" t="str">
        <f>'ts1 reddito'!F6</f>
        <v>Canone di locazione annuale lordo</v>
      </c>
      <c r="C3" s="213">
        <f>'ts1 reddito'!G6</f>
        <v>5040000</v>
      </c>
      <c r="D3" s="25"/>
    </row>
    <row r="4" spans="2:9" x14ac:dyDescent="0.25">
      <c r="B4" s="209" t="str">
        <f>'ts1 reddito'!F7</f>
        <v>IVA</v>
      </c>
      <c r="C4" s="213">
        <f>'ts1 reddito'!G7</f>
        <v>15400000</v>
      </c>
      <c r="D4" s="26"/>
    </row>
    <row r="5" spans="2:9" x14ac:dyDescent="0.25">
      <c r="B5" s="209" t="str">
        <f>'ts1 reddito'!F49</f>
        <v>Spese operative annuali</v>
      </c>
      <c r="C5" s="213">
        <f>-'ts1 reddito'!H49</f>
        <v>252000</v>
      </c>
      <c r="I5" s="26"/>
    </row>
    <row r="6" spans="2:9" x14ac:dyDescent="0.25">
      <c r="B6" s="210" t="str">
        <f>'ts1 reddito'!F8</f>
        <v>Aspettativa incremento annuale del canone</v>
      </c>
      <c r="C6" s="211">
        <f>'ts1 reddito'!G8</f>
        <v>0.02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4">
    <tabColor rgb="FFFFC000"/>
  </sheetPr>
  <dimension ref="B2:O45"/>
  <sheetViews>
    <sheetView showGridLines="0" workbookViewId="0">
      <selection activeCell="H17" sqref="B2:H17"/>
    </sheetView>
  </sheetViews>
  <sheetFormatPr defaultColWidth="8.85546875" defaultRowHeight="15" x14ac:dyDescent="0.25"/>
  <cols>
    <col min="1" max="1" width="8.85546875" style="21"/>
    <col min="2" max="2" width="32" style="50" bestFit="1" customWidth="1"/>
    <col min="3" max="3" width="13.140625" style="37" bestFit="1" customWidth="1"/>
    <col min="4" max="5" width="10.7109375" style="37" bestFit="1" customWidth="1"/>
    <col min="6" max="6" width="12.42578125" style="37" bestFit="1" customWidth="1"/>
    <col min="7" max="7" width="10.7109375" style="37" bestFit="1" customWidth="1"/>
    <col min="8" max="8" width="11.85546875" style="37" bestFit="1" customWidth="1"/>
    <col min="9" max="16384" width="8.85546875" style="21"/>
  </cols>
  <sheetData>
    <row r="2" spans="2:15" ht="15.75" thickBot="1" x14ac:dyDescent="0.3">
      <c r="B2" s="48"/>
      <c r="C2" s="36">
        <f>'ts1 reddito'!G46</f>
        <v>0</v>
      </c>
      <c r="D2" s="36">
        <f>'ts1 reddito'!H46</f>
        <v>1</v>
      </c>
      <c r="E2" s="36">
        <f>'ts1 reddito'!I46</f>
        <v>2</v>
      </c>
      <c r="F2" s="36">
        <f>'ts1 reddito'!J46</f>
        <v>3</v>
      </c>
      <c r="G2" s="36">
        <f>'ts1 reddito'!K46</f>
        <v>4</v>
      </c>
      <c r="H2" s="36">
        <f>'ts1 reddito'!L46</f>
        <v>5</v>
      </c>
    </row>
    <row r="3" spans="2:15" ht="15.75" thickTop="1" x14ac:dyDescent="0.25">
      <c r="B3" s="49" t="str">
        <f>'ts1 reddito'!F47</f>
        <v>Ipotesi valore mercato immobile</v>
      </c>
      <c r="C3" s="37">
        <f>'ts1 reddito'!G47</f>
        <v>70000000</v>
      </c>
      <c r="D3" s="37">
        <f>'ts1 reddito'!H47</f>
        <v>71400000</v>
      </c>
      <c r="E3" s="37">
        <f>'ts1 reddito'!I47</f>
        <v>72828000</v>
      </c>
      <c r="F3" s="37">
        <f>'ts1 reddito'!J47</f>
        <v>74284560.000000015</v>
      </c>
      <c r="G3" s="37">
        <f>'ts1 reddito'!K47</f>
        <v>75770251.200000018</v>
      </c>
      <c r="H3" s="37">
        <f>'ts1 reddito'!L47</f>
        <v>77285656.224000022</v>
      </c>
    </row>
    <row r="4" spans="2:15" s="27" customFormat="1" ht="5.45" customHeight="1" x14ac:dyDescent="0.25">
      <c r="B4" s="49"/>
      <c r="C4" s="38"/>
      <c r="D4" s="38"/>
      <c r="E4" s="38"/>
      <c r="F4" s="38"/>
      <c r="G4" s="38"/>
      <c r="H4" s="38"/>
      <c r="I4" s="30"/>
    </row>
    <row r="5" spans="2:15" x14ac:dyDescent="0.25">
      <c r="B5" s="50" t="str">
        <f>'ts1 reddito'!F48</f>
        <v>Canone di locazione annuale lordo</v>
      </c>
      <c r="D5" s="37">
        <f>'ts1 reddito'!H48</f>
        <v>5040000</v>
      </c>
      <c r="E5" s="37">
        <f>'ts1 reddito'!I48</f>
        <v>5140800</v>
      </c>
      <c r="F5" s="37">
        <f>'ts1 reddito'!J48</f>
        <v>5243616</v>
      </c>
      <c r="G5" s="37">
        <f>'ts1 reddito'!K48</f>
        <v>5348488.32</v>
      </c>
      <c r="H5" s="37">
        <f>'ts1 reddito'!L48</f>
        <v>5455458.0864000004</v>
      </c>
    </row>
    <row r="6" spans="2:15" x14ac:dyDescent="0.25">
      <c r="B6" s="51" t="str">
        <f>'ts1 reddito'!F49</f>
        <v>Spese operative annuali</v>
      </c>
      <c r="C6" s="39"/>
      <c r="D6" s="39">
        <f>'ts1 reddito'!H49</f>
        <v>-252000</v>
      </c>
      <c r="E6" s="39">
        <f>'ts1 reddito'!I49</f>
        <v>-257040</v>
      </c>
      <c r="F6" s="39">
        <f>'ts1 reddito'!J49</f>
        <v>-262180.8</v>
      </c>
      <c r="G6" s="39">
        <f>'ts1 reddito'!K49</f>
        <v>-267424.41599999997</v>
      </c>
      <c r="H6" s="39">
        <f>'ts1 reddito'!L49</f>
        <v>-272772.90431999997</v>
      </c>
      <c r="I6" s="26"/>
    </row>
    <row r="7" spans="2:15" s="27" customFormat="1" ht="14.25" x14ac:dyDescent="0.2">
      <c r="B7" s="49" t="str">
        <f>'ts1 reddito'!F50</f>
        <v>Flusso Gestionale</v>
      </c>
      <c r="C7" s="38"/>
      <c r="D7" s="38">
        <f>'ts1 reddito'!H50</f>
        <v>4788000</v>
      </c>
      <c r="E7" s="38">
        <f>'ts1 reddito'!I50</f>
        <v>4883760</v>
      </c>
      <c r="F7" s="38">
        <f>'ts1 reddito'!J50</f>
        <v>4981435.2</v>
      </c>
      <c r="G7" s="38">
        <f>'ts1 reddito'!K50</f>
        <v>5081063.9040000001</v>
      </c>
      <c r="H7" s="38">
        <f>'ts1 reddito'!L50</f>
        <v>5182685.1820800006</v>
      </c>
    </row>
    <row r="8" spans="2:15" x14ac:dyDescent="0.25">
      <c r="B8" s="50" t="str">
        <f>'ts1 reddito'!F51</f>
        <v xml:space="preserve">Investimento </v>
      </c>
      <c r="C8" s="37">
        <f>'ts1 reddito'!G51</f>
        <v>-70000000</v>
      </c>
    </row>
    <row r="9" spans="2:15" s="29" customFormat="1" x14ac:dyDescent="0.25">
      <c r="B9" s="52" t="str">
        <f>'ts1 reddito'!F52</f>
        <v>Disinvestimento %</v>
      </c>
      <c r="C9" s="40"/>
      <c r="D9" s="41">
        <f>'ts1 reddito'!H52</f>
        <v>0</v>
      </c>
      <c r="E9" s="41">
        <f>'ts1 reddito'!I52</f>
        <v>0</v>
      </c>
      <c r="F9" s="41">
        <f>'ts1 reddito'!J52</f>
        <v>0</v>
      </c>
      <c r="G9" s="41">
        <f>'ts1 reddito'!K52</f>
        <v>0</v>
      </c>
      <c r="H9" s="41">
        <f>'ts1 reddito'!L52</f>
        <v>1</v>
      </c>
    </row>
    <row r="10" spans="2:15" x14ac:dyDescent="0.25">
      <c r="B10" s="51" t="str">
        <f>'ts1 reddito'!F53</f>
        <v>Disinvestimento</v>
      </c>
      <c r="C10" s="39">
        <f>'ts1 reddito'!G53</f>
        <v>0</v>
      </c>
      <c r="D10" s="39">
        <f>'ts1 reddito'!H53</f>
        <v>0</v>
      </c>
      <c r="E10" s="39">
        <f>'ts1 reddito'!I53</f>
        <v>0</v>
      </c>
      <c r="F10" s="39">
        <f>'ts1 reddito'!J53</f>
        <v>0</v>
      </c>
      <c r="G10" s="39">
        <f>'ts1 reddito'!K53</f>
        <v>0</v>
      </c>
      <c r="H10" s="39">
        <f>'ts1 reddito'!L53</f>
        <v>77285656.224000022</v>
      </c>
    </row>
    <row r="11" spans="2:15" s="27" customFormat="1" x14ac:dyDescent="0.25">
      <c r="B11" s="50"/>
      <c r="C11" s="38">
        <f>'ts1 reddito'!G54</f>
        <v>-70000000</v>
      </c>
      <c r="D11" s="38">
        <f>'ts1 reddito'!H54</f>
        <v>4788000</v>
      </c>
      <c r="E11" s="38">
        <f>'ts1 reddito'!I54</f>
        <v>4883760</v>
      </c>
      <c r="F11" s="38">
        <f>'ts1 reddito'!J54</f>
        <v>4981435.2</v>
      </c>
      <c r="G11" s="38">
        <f>'ts1 reddito'!K54</f>
        <v>5081063.9040000001</v>
      </c>
      <c r="H11" s="38">
        <f>'ts1 reddito'!L54</f>
        <v>82468342.406080022</v>
      </c>
      <c r="I11" s="30"/>
    </row>
    <row r="12" spans="2:15" s="27" customFormat="1" ht="5.45" customHeight="1" x14ac:dyDescent="0.25">
      <c r="B12" s="49"/>
      <c r="C12" s="38"/>
      <c r="D12" s="38"/>
      <c r="E12" s="38"/>
      <c r="F12" s="38"/>
      <c r="G12" s="38"/>
      <c r="H12" s="38"/>
      <c r="I12" s="30"/>
      <c r="O12" s="27" t="s">
        <v>371</v>
      </c>
    </row>
    <row r="13" spans="2:15" x14ac:dyDescent="0.25">
      <c r="B13" s="53" t="str">
        <f>'ts1 reddito'!F56</f>
        <v>Posizione IVA</v>
      </c>
      <c r="C13" s="42"/>
      <c r="D13" s="42"/>
      <c r="E13" s="42"/>
      <c r="F13" s="42"/>
      <c r="G13" s="42"/>
      <c r="H13" s="42"/>
    </row>
    <row r="14" spans="2:15" x14ac:dyDescent="0.25">
      <c r="B14" s="50" t="str">
        <f>'ts1 reddito'!F57</f>
        <v xml:space="preserve">IVA a credito nel periodo </v>
      </c>
      <c r="C14" s="50">
        <f>'ts1 reddito'!G57</f>
        <v>-15400000</v>
      </c>
      <c r="D14" s="50">
        <f>'ts1 reddito'!H57</f>
        <v>0</v>
      </c>
      <c r="E14" s="50">
        <f>'ts1 reddito'!I57</f>
        <v>0</v>
      </c>
      <c r="F14" s="50">
        <f>'ts1 reddito'!J57</f>
        <v>0</v>
      </c>
      <c r="G14" s="50">
        <f>'ts1 reddito'!K57</f>
        <v>0</v>
      </c>
      <c r="H14" s="50">
        <f>'ts1 reddito'!L57</f>
        <v>0</v>
      </c>
    </row>
    <row r="15" spans="2:15" x14ac:dyDescent="0.25">
      <c r="B15" s="50" t="str">
        <f>'ts1 reddito'!F59</f>
        <v>Rimborso IVA</v>
      </c>
      <c r="C15" s="50">
        <f>'ts1 reddito'!G59</f>
        <v>0</v>
      </c>
      <c r="D15" s="50">
        <f>'ts1 reddito'!H59</f>
        <v>0</v>
      </c>
      <c r="E15" s="50">
        <f>'ts1 reddito'!I59</f>
        <v>0</v>
      </c>
      <c r="F15" s="50">
        <f>'ts1 reddito'!J59</f>
        <v>15400000</v>
      </c>
      <c r="G15" s="50">
        <f>'ts1 reddito'!K59</f>
        <v>0</v>
      </c>
      <c r="H15" s="50">
        <f>'ts1 reddito'!L59</f>
        <v>0</v>
      </c>
    </row>
    <row r="16" spans="2:15" x14ac:dyDescent="0.25">
      <c r="B16" s="51" t="str">
        <f>'ts1 reddito'!F61</f>
        <v>Flusso IVA</v>
      </c>
      <c r="C16" s="51">
        <f>'ts1 reddito'!G61</f>
        <v>-15400000</v>
      </c>
      <c r="D16" s="51">
        <f>'ts1 reddito'!H61</f>
        <v>0</v>
      </c>
      <c r="E16" s="51">
        <f>'ts1 reddito'!I61</f>
        <v>0</v>
      </c>
      <c r="F16" s="51">
        <f>'ts1 reddito'!J61</f>
        <v>15400000</v>
      </c>
      <c r="G16" s="51">
        <f>'ts1 reddito'!K61</f>
        <v>0</v>
      </c>
      <c r="H16" s="51">
        <f>'ts1 reddito'!L61</f>
        <v>0</v>
      </c>
    </row>
    <row r="17" spans="2:12" x14ac:dyDescent="0.25">
      <c r="B17" s="49" t="str">
        <f>'ts1 reddito'!F62</f>
        <v>Flusso Operativo con IVA</v>
      </c>
      <c r="C17" s="49">
        <f>'ts1 reddito'!G62</f>
        <v>-85400000</v>
      </c>
      <c r="D17" s="49">
        <f>'ts1 reddito'!H62</f>
        <v>4788000</v>
      </c>
      <c r="E17" s="49">
        <f>'ts1 reddito'!I62</f>
        <v>4883760</v>
      </c>
      <c r="F17" s="49">
        <f>'ts1 reddito'!J62</f>
        <v>20381435.199999999</v>
      </c>
      <c r="G17" s="49">
        <f>'ts1 reddito'!K62</f>
        <v>5081063.9040000001</v>
      </c>
      <c r="H17" s="49">
        <f>'ts1 reddito'!L62</f>
        <v>82468342.406080022</v>
      </c>
    </row>
    <row r="18" spans="2:12" x14ac:dyDescent="0.25">
      <c r="C18" s="50"/>
      <c r="D18" s="50"/>
      <c r="E18" s="50"/>
      <c r="F18" s="50"/>
      <c r="G18" s="50"/>
      <c r="H18" s="50"/>
    </row>
    <row r="19" spans="2:12" x14ac:dyDescent="0.25">
      <c r="C19" s="50"/>
      <c r="D19" s="50"/>
      <c r="E19" s="50"/>
      <c r="F19" s="50"/>
      <c r="G19" s="50"/>
      <c r="H19" s="50"/>
    </row>
    <row r="20" spans="2:12" x14ac:dyDescent="0.25">
      <c r="C20" s="50"/>
      <c r="D20" s="50"/>
      <c r="E20" s="50"/>
      <c r="F20" s="50"/>
      <c r="G20" s="50"/>
      <c r="H20" s="50"/>
      <c r="J20" s="33"/>
      <c r="K20" s="33"/>
      <c r="L20" s="33"/>
    </row>
    <row r="21" spans="2:12" s="27" customFormat="1" x14ac:dyDescent="0.25">
      <c r="B21" s="49"/>
      <c r="C21" s="38"/>
      <c r="D21" s="38"/>
      <c r="E21" s="38"/>
      <c r="F21" s="38"/>
      <c r="G21" s="38"/>
      <c r="H21" s="38"/>
      <c r="I21" s="30"/>
    </row>
    <row r="22" spans="2:12" s="27" customFormat="1" x14ac:dyDescent="0.2">
      <c r="B22" s="50"/>
      <c r="C22" s="44"/>
      <c r="D22" s="45"/>
      <c r="E22" s="45"/>
      <c r="F22" s="45"/>
      <c r="G22" s="45"/>
      <c r="H22" s="45"/>
      <c r="I22" s="31"/>
    </row>
    <row r="23" spans="2:12" s="27" customFormat="1" x14ac:dyDescent="0.2">
      <c r="B23" s="50"/>
      <c r="C23" s="44"/>
      <c r="D23" s="45"/>
      <c r="E23" s="45"/>
      <c r="F23" s="45"/>
      <c r="G23" s="45"/>
      <c r="H23" s="45"/>
      <c r="I23" s="31"/>
    </row>
    <row r="24" spans="2:12" s="27" customFormat="1" x14ac:dyDescent="0.2">
      <c r="B24" s="50"/>
      <c r="C24" s="44"/>
      <c r="D24" s="45"/>
      <c r="E24" s="45"/>
      <c r="F24" s="45"/>
      <c r="G24" s="45"/>
      <c r="H24" s="45"/>
      <c r="I24" s="31"/>
    </row>
    <row r="26" spans="2:12" x14ac:dyDescent="0.25">
      <c r="B26" s="49"/>
      <c r="C26" s="38"/>
      <c r="D26" s="38"/>
      <c r="E26" s="38"/>
      <c r="F26" s="38"/>
      <c r="G26" s="38"/>
      <c r="H26" s="38"/>
    </row>
    <row r="27" spans="2:12" x14ac:dyDescent="0.25">
      <c r="B27" s="52"/>
      <c r="D27" s="40"/>
      <c r="E27" s="40"/>
      <c r="F27" s="40"/>
      <c r="G27" s="40"/>
      <c r="H27" s="40"/>
    </row>
    <row r="33" spans="2:9" x14ac:dyDescent="0.25">
      <c r="B33" s="52"/>
      <c r="C33" s="40"/>
      <c r="D33" s="40"/>
      <c r="E33" s="40"/>
      <c r="F33" s="40"/>
      <c r="G33" s="40"/>
      <c r="H33" s="40"/>
    </row>
    <row r="34" spans="2:9" x14ac:dyDescent="0.25">
      <c r="I34" s="30"/>
    </row>
    <row r="35" spans="2:9" x14ac:dyDescent="0.25">
      <c r="B35" s="49"/>
      <c r="C35" s="38"/>
      <c r="D35" s="38"/>
      <c r="E35" s="38"/>
      <c r="F35" s="38"/>
      <c r="G35" s="38"/>
      <c r="H35" s="38"/>
      <c r="I35" s="30"/>
    </row>
    <row r="36" spans="2:9" x14ac:dyDescent="0.25">
      <c r="B36" s="49"/>
      <c r="C36" s="38"/>
      <c r="D36" s="38"/>
      <c r="E36" s="38"/>
      <c r="F36" s="38"/>
      <c r="G36" s="38"/>
      <c r="H36" s="38"/>
      <c r="I36" s="30"/>
    </row>
    <row r="37" spans="2:9" x14ac:dyDescent="0.25">
      <c r="B37" s="49"/>
      <c r="C37" s="38"/>
      <c r="D37" s="38"/>
      <c r="E37" s="38"/>
      <c r="F37" s="38"/>
      <c r="G37" s="38"/>
      <c r="H37" s="38"/>
      <c r="I37" s="31"/>
    </row>
    <row r="38" spans="2:9" x14ac:dyDescent="0.25">
      <c r="I38" s="30"/>
    </row>
    <row r="39" spans="2:9" x14ac:dyDescent="0.25">
      <c r="I39" s="30"/>
    </row>
    <row r="40" spans="2:9" s="27" customFormat="1" x14ac:dyDescent="0.25">
      <c r="B40" s="50"/>
      <c r="C40" s="37"/>
      <c r="D40" s="37"/>
      <c r="E40" s="37"/>
      <c r="F40" s="37"/>
      <c r="G40" s="37"/>
      <c r="H40" s="37"/>
      <c r="I40" s="30"/>
    </row>
    <row r="41" spans="2:9" x14ac:dyDescent="0.25">
      <c r="I41" s="30"/>
    </row>
    <row r="42" spans="2:9" x14ac:dyDescent="0.25">
      <c r="B42" s="49"/>
      <c r="C42" s="38"/>
      <c r="D42" s="38"/>
      <c r="E42" s="38"/>
      <c r="F42" s="38"/>
      <c r="G42" s="38"/>
      <c r="H42" s="38"/>
      <c r="I42" s="30"/>
    </row>
    <row r="43" spans="2:9" x14ac:dyDescent="0.25">
      <c r="C43" s="46"/>
      <c r="D43" s="46"/>
      <c r="E43" s="46"/>
      <c r="F43" s="46"/>
      <c r="G43" s="46"/>
      <c r="H43" s="46"/>
    </row>
    <row r="44" spans="2:9" x14ac:dyDescent="0.25">
      <c r="C44" s="47"/>
      <c r="D44" s="44"/>
      <c r="E44" s="44"/>
      <c r="F44" s="44"/>
      <c r="G44" s="44"/>
      <c r="H44" s="44"/>
    </row>
    <row r="45" spans="2:9" x14ac:dyDescent="0.25">
      <c r="C45" s="47"/>
      <c r="D45" s="44"/>
      <c r="E45" s="44"/>
      <c r="F45" s="44"/>
      <c r="G45" s="44"/>
      <c r="H45" s="44"/>
    </row>
  </sheetData>
  <phoneticPr fontId="19" type="noConversion"/>
  <conditionalFormatting sqref="D23:H24">
    <cfRule type="cellIs" dxfId="25" priority="2" operator="equal">
      <formula>"no"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5">
    <tabColor rgb="FFFFC000"/>
  </sheetPr>
  <dimension ref="B2:L74"/>
  <sheetViews>
    <sheetView showGridLines="0" workbookViewId="0">
      <selection activeCell="E2" sqref="B2:E10"/>
    </sheetView>
  </sheetViews>
  <sheetFormatPr defaultColWidth="8.85546875" defaultRowHeight="15" x14ac:dyDescent="0.25"/>
  <cols>
    <col min="1" max="1" width="8.85546875" style="21"/>
    <col min="2" max="2" width="31.28515625" style="243" bestFit="1" customWidth="1"/>
    <col min="3" max="3" width="6.28515625" style="37" bestFit="1" customWidth="1"/>
    <col min="4" max="4" width="11.28515625" style="37" bestFit="1" customWidth="1"/>
    <col min="5" max="5" width="11.85546875" style="37" bestFit="1" customWidth="1"/>
    <col min="6" max="8" width="11.28515625" style="21" bestFit="1" customWidth="1"/>
    <col min="9" max="16384" width="8.85546875" style="21"/>
  </cols>
  <sheetData>
    <row r="2" spans="2:8" ht="15.75" thickBot="1" x14ac:dyDescent="0.3">
      <c r="B2" s="242"/>
      <c r="C2" s="55" t="str">
        <f>'ts1 reddito'!G36</f>
        <v>V1</v>
      </c>
      <c r="D2" s="55" t="str">
        <f>'ts1 reddito'!H36</f>
        <v>V2</v>
      </c>
      <c r="E2" s="55" t="str">
        <f>'ts1 reddito'!I36</f>
        <v>Min</v>
      </c>
    </row>
    <row r="3" spans="2:8" ht="15.75" thickTop="1" x14ac:dyDescent="0.25">
      <c r="B3" s="243" t="str">
        <f>'ts1 reddito'!F38</f>
        <v>Vincolo LTV</v>
      </c>
      <c r="C3" s="40"/>
      <c r="D3" s="40"/>
      <c r="E3" s="37">
        <f>'ts1 reddito'!I37</f>
        <v>50000000</v>
      </c>
    </row>
    <row r="4" spans="2:8" x14ac:dyDescent="0.25">
      <c r="B4" s="243" t="str">
        <f>'ts1 reddito'!F39</f>
        <v>Vincolo ICR (OF Max = Flusso/ICR)</v>
      </c>
      <c r="C4" s="41">
        <f>'ts1 reddito'!G38</f>
        <v>0.7</v>
      </c>
      <c r="D4" s="40"/>
      <c r="E4" s="37">
        <f>'ts1 reddito'!I38</f>
        <v>49000000</v>
      </c>
    </row>
    <row r="5" spans="2:8" x14ac:dyDescent="0.25">
      <c r="B5" s="244" t="str">
        <f>'ts1 reddito'!F40</f>
        <v>Finanziamento ACQUISIZIONE</v>
      </c>
      <c r="C5" s="56">
        <f>'ts1 reddito'!G39</f>
        <v>1.7</v>
      </c>
      <c r="D5" s="43">
        <f>'ts1 reddito'!H39</f>
        <v>2816470.588235294</v>
      </c>
      <c r="E5" s="39">
        <f>'ts1 reddito'!I39</f>
        <v>93882352.941176474</v>
      </c>
    </row>
    <row r="6" spans="2:8" x14ac:dyDescent="0.25">
      <c r="B6" s="245" t="str">
        <f>'ts1 reddito'!F40</f>
        <v>Finanziamento ACQUISIZIONE</v>
      </c>
      <c r="C6" s="41"/>
      <c r="D6" s="40"/>
      <c r="E6" s="38">
        <f>'ts1 reddito'!I40</f>
        <v>49000000</v>
      </c>
    </row>
    <row r="7" spans="2:8" x14ac:dyDescent="0.25">
      <c r="C7" s="41"/>
      <c r="D7" s="40"/>
      <c r="E7" s="38"/>
    </row>
    <row r="8" spans="2:8" x14ac:dyDescent="0.25">
      <c r="B8" s="243" t="str">
        <f>'ts1 reddito'!F42</f>
        <v>Importo Massimo</v>
      </c>
      <c r="C8" s="40"/>
      <c r="D8" s="40"/>
      <c r="E8" s="37">
        <f>'ts1 reddito'!I42</f>
        <v>10000000</v>
      </c>
    </row>
    <row r="9" spans="2:8" x14ac:dyDescent="0.25">
      <c r="B9" s="244" t="str">
        <f>'ts1 reddito'!F43</f>
        <v>% massima IVA</v>
      </c>
      <c r="C9" s="56">
        <f>'ts1 reddito'!G43</f>
        <v>1</v>
      </c>
      <c r="D9" s="43"/>
      <c r="E9" s="39">
        <f>'ts1 reddito'!I43</f>
        <v>15400000</v>
      </c>
    </row>
    <row r="10" spans="2:8" x14ac:dyDescent="0.25">
      <c r="B10" s="245" t="str">
        <f>'ts1 reddito'!F44</f>
        <v>Finanziamento IVA</v>
      </c>
      <c r="C10" s="41"/>
      <c r="D10" s="40"/>
      <c r="E10" s="38">
        <f>'ts1 reddito'!I44</f>
        <v>10000000</v>
      </c>
    </row>
    <row r="12" spans="2:8" x14ac:dyDescent="0.25">
      <c r="D12" s="54"/>
      <c r="E12" s="54"/>
      <c r="F12" s="26"/>
      <c r="G12" s="26"/>
      <c r="H12" s="26"/>
    </row>
    <row r="13" spans="2:8" x14ac:dyDescent="0.25">
      <c r="B13" s="245"/>
    </row>
    <row r="15" spans="2:8" x14ac:dyDescent="0.25">
      <c r="B15" s="245"/>
      <c r="C15" s="38"/>
      <c r="D15" s="38"/>
      <c r="E15" s="38"/>
      <c r="F15" s="27"/>
      <c r="G15" s="27"/>
      <c r="H15" s="27"/>
    </row>
    <row r="17" spans="2:9" x14ac:dyDescent="0.25">
      <c r="I17" s="26"/>
    </row>
    <row r="18" spans="2:9" s="27" customFormat="1" ht="14.25" x14ac:dyDescent="0.2">
      <c r="B18" s="245"/>
      <c r="C18" s="38"/>
      <c r="D18" s="38"/>
      <c r="E18" s="38"/>
    </row>
    <row r="20" spans="2:9" x14ac:dyDescent="0.25">
      <c r="D20" s="46"/>
      <c r="E20" s="46"/>
      <c r="F20" s="25"/>
      <c r="G20" s="25"/>
      <c r="H20" s="25"/>
    </row>
    <row r="22" spans="2:9" s="27" customFormat="1" x14ac:dyDescent="0.25">
      <c r="B22" s="245"/>
      <c r="C22" s="38"/>
      <c r="D22" s="38"/>
      <c r="E22" s="38"/>
      <c r="I22" s="30"/>
    </row>
    <row r="23" spans="2:9" s="27" customFormat="1" x14ac:dyDescent="0.25">
      <c r="B23" s="245"/>
      <c r="C23" s="38"/>
      <c r="D23" s="38"/>
      <c r="E23" s="38"/>
      <c r="I23" s="30"/>
    </row>
    <row r="24" spans="2:9" x14ac:dyDescent="0.25">
      <c r="B24" s="245"/>
      <c r="C24" s="38"/>
      <c r="D24" s="38"/>
      <c r="E24" s="38"/>
      <c r="F24" s="27"/>
      <c r="G24" s="27"/>
      <c r="H24" s="27"/>
    </row>
    <row r="25" spans="2:9" x14ac:dyDescent="0.25">
      <c r="I25" s="26"/>
    </row>
    <row r="26" spans="2:9" ht="4.1500000000000004" customHeight="1" x14ac:dyDescent="0.25">
      <c r="I26" s="26"/>
    </row>
    <row r="27" spans="2:9" x14ac:dyDescent="0.25">
      <c r="B27" s="246"/>
      <c r="D27" s="40"/>
      <c r="E27" s="40"/>
      <c r="F27" s="29"/>
      <c r="G27" s="29"/>
      <c r="H27" s="29"/>
    </row>
    <row r="34" spans="2:9" x14ac:dyDescent="0.25">
      <c r="B34" s="246"/>
      <c r="C34" s="40"/>
      <c r="D34" s="40"/>
      <c r="E34" s="40"/>
      <c r="F34" s="29"/>
      <c r="G34" s="29"/>
      <c r="H34" s="29"/>
    </row>
    <row r="35" spans="2:9" ht="4.1500000000000004" customHeight="1" x14ac:dyDescent="0.25">
      <c r="I35" s="26"/>
    </row>
    <row r="36" spans="2:9" x14ac:dyDescent="0.25">
      <c r="B36" s="246"/>
      <c r="C36" s="40"/>
      <c r="D36" s="40"/>
      <c r="E36" s="40"/>
      <c r="F36" s="29"/>
      <c r="G36" s="29"/>
      <c r="H36" s="29"/>
    </row>
    <row r="37" spans="2:9" x14ac:dyDescent="0.25">
      <c r="B37" s="245"/>
      <c r="C37" s="38"/>
      <c r="D37" s="38"/>
      <c r="E37" s="38"/>
      <c r="F37" s="27"/>
      <c r="G37" s="27"/>
      <c r="H37" s="27"/>
      <c r="I37" s="30"/>
    </row>
    <row r="38" spans="2:9" x14ac:dyDescent="0.25">
      <c r="B38" s="246"/>
    </row>
    <row r="39" spans="2:9" x14ac:dyDescent="0.25">
      <c r="B39" s="246"/>
      <c r="C39" s="40"/>
      <c r="D39" s="40"/>
      <c r="E39" s="40"/>
      <c r="F39" s="29"/>
      <c r="G39" s="29"/>
      <c r="H39" s="29"/>
    </row>
    <row r="40" spans="2:9" x14ac:dyDescent="0.25">
      <c r="B40" s="245"/>
      <c r="C40" s="38"/>
      <c r="D40" s="38"/>
      <c r="E40" s="38"/>
      <c r="F40" s="27"/>
      <c r="G40" s="27"/>
      <c r="H40" s="27"/>
    </row>
    <row r="41" spans="2:9" x14ac:dyDescent="0.25">
      <c r="B41" s="246"/>
      <c r="D41" s="40"/>
      <c r="E41" s="40"/>
      <c r="F41" s="29"/>
      <c r="G41" s="29"/>
      <c r="H41" s="29"/>
    </row>
    <row r="47" spans="2:9" x14ac:dyDescent="0.25">
      <c r="B47" s="246"/>
      <c r="C47" s="40"/>
      <c r="D47" s="40"/>
      <c r="E47" s="40"/>
      <c r="F47" s="29"/>
      <c r="G47" s="29"/>
      <c r="H47" s="29"/>
    </row>
    <row r="48" spans="2:9" x14ac:dyDescent="0.25">
      <c r="B48" s="246"/>
      <c r="C48" s="41"/>
      <c r="D48" s="41"/>
      <c r="E48" s="41"/>
      <c r="F48" s="22"/>
      <c r="G48" s="22"/>
      <c r="H48" s="22"/>
    </row>
    <row r="49" spans="2:12" x14ac:dyDescent="0.25">
      <c r="J49" s="33"/>
      <c r="K49" s="33"/>
      <c r="L49" s="33"/>
    </row>
    <row r="50" spans="2:12" s="27" customFormat="1" x14ac:dyDescent="0.25">
      <c r="B50" s="245"/>
      <c r="C50" s="38"/>
      <c r="D50" s="38"/>
      <c r="E50" s="38"/>
      <c r="I50" s="30"/>
    </row>
    <row r="51" spans="2:12" s="27" customFormat="1" x14ac:dyDescent="0.25">
      <c r="B51" s="243"/>
      <c r="C51" s="44"/>
      <c r="D51" s="45"/>
      <c r="E51" s="45"/>
      <c r="F51" s="34"/>
      <c r="G51" s="34"/>
      <c r="H51" s="34"/>
      <c r="I51" s="31"/>
    </row>
    <row r="52" spans="2:12" s="27" customFormat="1" x14ac:dyDescent="0.25">
      <c r="B52" s="243"/>
      <c r="C52" s="44"/>
      <c r="D52" s="45"/>
      <c r="E52" s="45"/>
      <c r="F52" s="35"/>
      <c r="G52" s="35"/>
      <c r="H52" s="35"/>
      <c r="I52" s="31"/>
    </row>
    <row r="53" spans="2:12" s="27" customFormat="1" x14ac:dyDescent="0.25">
      <c r="B53" s="243"/>
      <c r="C53" s="44"/>
      <c r="D53" s="45"/>
      <c r="E53" s="45"/>
      <c r="F53" s="35"/>
      <c r="G53" s="35"/>
      <c r="H53" s="35"/>
      <c r="I53" s="31"/>
    </row>
    <row r="55" spans="2:12" x14ac:dyDescent="0.25">
      <c r="B55" s="245"/>
      <c r="C55" s="38"/>
      <c r="D55" s="38"/>
      <c r="E55" s="38"/>
      <c r="F55" s="27"/>
      <c r="G55" s="27"/>
      <c r="H55" s="27"/>
    </row>
    <row r="56" spans="2:12" x14ac:dyDescent="0.25">
      <c r="B56" s="246"/>
      <c r="D56" s="40"/>
      <c r="E56" s="40"/>
      <c r="F56" s="29"/>
      <c r="G56" s="29"/>
      <c r="H56" s="29"/>
    </row>
    <row r="62" spans="2:12" x14ac:dyDescent="0.25">
      <c r="B62" s="246"/>
      <c r="C62" s="40"/>
      <c r="D62" s="40"/>
      <c r="E62" s="40"/>
      <c r="F62" s="29"/>
      <c r="G62" s="29"/>
      <c r="H62" s="29"/>
    </row>
    <row r="63" spans="2:12" x14ac:dyDescent="0.25">
      <c r="I63" s="30"/>
    </row>
    <row r="64" spans="2:12" x14ac:dyDescent="0.25">
      <c r="B64" s="245"/>
      <c r="C64" s="38"/>
      <c r="D64" s="38"/>
      <c r="E64" s="38"/>
      <c r="F64" s="27"/>
      <c r="G64" s="27"/>
      <c r="H64" s="27"/>
      <c r="I64" s="30"/>
    </row>
    <row r="65" spans="2:9" x14ac:dyDescent="0.25">
      <c r="B65" s="245"/>
      <c r="C65" s="38"/>
      <c r="D65" s="38"/>
      <c r="E65" s="38"/>
      <c r="F65" s="27"/>
      <c r="G65" s="27"/>
      <c r="H65" s="27"/>
      <c r="I65" s="30"/>
    </row>
    <row r="66" spans="2:9" x14ac:dyDescent="0.25">
      <c r="B66" s="245"/>
      <c r="C66" s="38"/>
      <c r="D66" s="38"/>
      <c r="E66" s="38"/>
      <c r="F66" s="27"/>
      <c r="G66" s="27"/>
      <c r="H66" s="27"/>
      <c r="I66" s="31"/>
    </row>
    <row r="67" spans="2:9" x14ac:dyDescent="0.25">
      <c r="I67" s="30"/>
    </row>
    <row r="68" spans="2:9" x14ac:dyDescent="0.25">
      <c r="I68" s="30"/>
    </row>
    <row r="69" spans="2:9" s="27" customFormat="1" x14ac:dyDescent="0.25">
      <c r="B69" s="243"/>
      <c r="C69" s="37"/>
      <c r="D69" s="37"/>
      <c r="E69" s="37"/>
      <c r="F69" s="21"/>
      <c r="G69" s="21"/>
      <c r="H69" s="21"/>
      <c r="I69" s="30"/>
    </row>
    <row r="70" spans="2:9" x14ac:dyDescent="0.25">
      <c r="I70" s="30"/>
    </row>
    <row r="71" spans="2:9" x14ac:dyDescent="0.25">
      <c r="B71" s="245"/>
      <c r="C71" s="38"/>
      <c r="D71" s="38"/>
      <c r="E71" s="38"/>
      <c r="F71" s="27"/>
      <c r="G71" s="27"/>
      <c r="H71" s="27"/>
      <c r="I71" s="30"/>
    </row>
    <row r="72" spans="2:9" x14ac:dyDescent="0.25">
      <c r="C72" s="46"/>
      <c r="D72" s="46"/>
      <c r="E72" s="46"/>
      <c r="F72" s="25"/>
      <c r="G72" s="25"/>
      <c r="H72" s="25"/>
    </row>
    <row r="73" spans="2:9" x14ac:dyDescent="0.25">
      <c r="C73" s="47"/>
      <c r="D73" s="44"/>
      <c r="E73" s="44"/>
      <c r="F73" s="32"/>
      <c r="G73" s="32"/>
      <c r="H73" s="32"/>
    </row>
    <row r="74" spans="2:9" x14ac:dyDescent="0.25">
      <c r="C74" s="47"/>
      <c r="D74" s="44"/>
      <c r="E74" s="44"/>
      <c r="F74" s="32"/>
      <c r="G74" s="32"/>
      <c r="H74" s="32"/>
    </row>
  </sheetData>
  <phoneticPr fontId="19" type="noConversion"/>
  <conditionalFormatting sqref="D52:H53">
    <cfRule type="cellIs" dxfId="24" priority="1" operator="equal">
      <formula>"no"</formula>
    </cfRule>
  </conditionalFormatting>
  <conditionalFormatting sqref="H53">
    <cfRule type="cellIs" dxfId="23" priority="2" operator="equal">
      <formula>"no"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6">
    <tabColor rgb="FFFFC000"/>
  </sheetPr>
  <dimension ref="B2:G17"/>
  <sheetViews>
    <sheetView showGridLines="0" workbookViewId="0">
      <selection activeCell="D10" sqref="B2:D10"/>
    </sheetView>
  </sheetViews>
  <sheetFormatPr defaultColWidth="8.85546875" defaultRowHeight="15" x14ac:dyDescent="0.25"/>
  <cols>
    <col min="1" max="1" width="8.85546875" style="20"/>
    <col min="2" max="2" width="54.5703125" style="59" bestFit="1" customWidth="1"/>
    <col min="3" max="3" width="7.7109375" style="58" bestFit="1" customWidth="1"/>
    <col min="4" max="4" width="6.28515625" style="58" bestFit="1" customWidth="1"/>
    <col min="5" max="5" width="6.28515625" style="20" bestFit="1" customWidth="1"/>
    <col min="6" max="7" width="1.7109375" style="20" bestFit="1" customWidth="1"/>
    <col min="8" max="16384" width="8.85546875" style="20"/>
  </cols>
  <sheetData>
    <row r="2" spans="2:7" ht="15.75" thickBot="1" x14ac:dyDescent="0.3">
      <c r="B2" s="48" t="str">
        <f>'ts1 reddito'!F25</f>
        <v>Costo copertura Cap</v>
      </c>
      <c r="C2" s="60"/>
      <c r="D2" s="37"/>
      <c r="E2" s="21"/>
      <c r="F2" s="21"/>
      <c r="G2" s="21"/>
    </row>
    <row r="3" spans="2:7" ht="15.75" thickTop="1" x14ac:dyDescent="0.25">
      <c r="B3" s="50" t="str">
        <f>'ts1 reddito'!F26</f>
        <v>Euribor 12 mesi (tasso di mercato al momento dell'erogazione)</v>
      </c>
      <c r="C3" s="57">
        <f>'ts1 reddito'!G26</f>
        <v>1.2500000000000001E-2</v>
      </c>
      <c r="D3" s="37"/>
      <c r="E3" s="21"/>
      <c r="F3" s="21"/>
      <c r="G3" s="21"/>
    </row>
    <row r="4" spans="2:7" x14ac:dyDescent="0.25">
      <c r="B4" s="50" t="str">
        <f>'ts1 reddito'!F27</f>
        <v>Euribor 12 mesi (ipotesi di analisi cap)</v>
      </c>
      <c r="C4" s="57">
        <f>'ts1 reddito'!G27</f>
        <v>7.4999999999999997E-3</v>
      </c>
      <c r="D4" s="37"/>
      <c r="E4" s="21"/>
      <c r="F4" s="21"/>
      <c r="G4" s="21"/>
    </row>
    <row r="5" spans="2:7" x14ac:dyDescent="0.25">
      <c r="B5" s="50" t="str">
        <f>'ts1 reddito'!F28</f>
        <v>Cap</v>
      </c>
      <c r="C5" s="57">
        <f>'ts1 reddito'!G28</f>
        <v>0.03</v>
      </c>
      <c r="D5" s="37"/>
      <c r="E5" s="21"/>
      <c r="F5" s="21"/>
      <c r="G5" s="21"/>
    </row>
    <row r="6" spans="2:7" x14ac:dyDescent="0.25">
      <c r="B6" s="50"/>
      <c r="C6" s="57"/>
      <c r="D6" s="37"/>
      <c r="E6" s="21"/>
      <c r="F6" s="21"/>
      <c r="G6" s="21"/>
    </row>
    <row r="7" spans="2:7" ht="15.75" thickBot="1" x14ac:dyDescent="0.3">
      <c r="B7" s="61" t="str">
        <f>'ts1 reddito'!F30</f>
        <v>Tasso Finale Linea Acquisizione &lt;LTV</v>
      </c>
      <c r="C7" s="62" t="str">
        <f>'ts1 reddito'!G30</f>
        <v>Iniziale</v>
      </c>
      <c r="D7" s="55" t="str">
        <f>'ts1 reddito'!H30</f>
        <v>cap</v>
      </c>
      <c r="E7" s="21"/>
      <c r="F7" s="21"/>
      <c r="G7" s="21"/>
    </row>
    <row r="8" spans="2:7" ht="15.75" thickTop="1" x14ac:dyDescent="0.25">
      <c r="B8" s="50" t="str">
        <f>'ts1 reddito'!F31</f>
        <v>Tasso Finale Linea Acquisizione &gt;LTV</v>
      </c>
      <c r="C8" s="57">
        <f>'ts1 reddito'!G31</f>
        <v>2.5000000000000001E-2</v>
      </c>
      <c r="D8" s="57">
        <f>'ts1 reddito'!H31</f>
        <v>4.7500000000000001E-2</v>
      </c>
      <c r="E8" s="21"/>
      <c r="F8" s="21"/>
      <c r="G8" s="21"/>
    </row>
    <row r="9" spans="2:7" x14ac:dyDescent="0.25">
      <c r="B9" s="50" t="str">
        <f>'ts1 reddito'!F32</f>
        <v>Tasso Finale Linea Acquisizione &lt;LTV</v>
      </c>
      <c r="C9" s="57">
        <f>'ts1 reddito'!G32</f>
        <v>0.03</v>
      </c>
      <c r="D9" s="57">
        <f>'ts1 reddito'!H32</f>
        <v>5.2499999999999998E-2</v>
      </c>
      <c r="E9" s="21"/>
      <c r="F9" s="21"/>
      <c r="G9" s="21"/>
    </row>
    <row r="10" spans="2:7" x14ac:dyDescent="0.25">
      <c r="B10" s="50" t="str">
        <f>'ts1 reddito'!F33</f>
        <v>Tasso Finale Linea IVA</v>
      </c>
      <c r="C10" s="57">
        <f>'ts1 reddito'!G33</f>
        <v>2.75E-2</v>
      </c>
      <c r="D10" s="57">
        <f>'ts1 reddito'!H33</f>
        <v>0.05</v>
      </c>
      <c r="E10" s="21"/>
      <c r="F10" s="21"/>
      <c r="G10" s="21"/>
    </row>
    <row r="11" spans="2:7" x14ac:dyDescent="0.25">
      <c r="B11" s="50"/>
      <c r="C11" s="46"/>
      <c r="D11" s="37"/>
      <c r="E11" s="21"/>
      <c r="F11" s="21"/>
      <c r="G11" s="21"/>
    </row>
    <row r="12" spans="2:7" x14ac:dyDescent="0.25">
      <c r="B12" s="49"/>
      <c r="C12" s="46"/>
      <c r="D12" s="37"/>
      <c r="E12" s="21"/>
      <c r="F12" s="21"/>
      <c r="G12" s="21"/>
    </row>
    <row r="13" spans="2:7" x14ac:dyDescent="0.25">
      <c r="B13" s="50"/>
      <c r="C13" s="37"/>
      <c r="D13" s="37"/>
      <c r="E13" s="21"/>
      <c r="F13" s="21"/>
      <c r="G13" s="21"/>
    </row>
    <row r="14" spans="2:7" x14ac:dyDescent="0.25">
      <c r="B14" s="50"/>
      <c r="C14" s="37"/>
      <c r="D14" s="54"/>
      <c r="E14" s="21"/>
      <c r="F14" s="21"/>
      <c r="G14" s="21"/>
    </row>
    <row r="15" spans="2:7" x14ac:dyDescent="0.25">
      <c r="B15" s="50"/>
      <c r="C15" s="37"/>
      <c r="D15" s="46"/>
      <c r="E15" s="21"/>
      <c r="F15" s="21"/>
      <c r="G15" s="21"/>
    </row>
    <row r="16" spans="2:7" x14ac:dyDescent="0.25">
      <c r="B16" s="50"/>
      <c r="C16" s="54"/>
      <c r="D16" s="37"/>
      <c r="E16" s="21"/>
      <c r="F16" s="21"/>
      <c r="G16" s="21"/>
    </row>
    <row r="17" spans="2:7" x14ac:dyDescent="0.25">
      <c r="B17" s="50"/>
      <c r="C17" s="37"/>
      <c r="D17" s="37"/>
      <c r="E17" s="21"/>
      <c r="F17" s="21"/>
      <c r="G17" s="21"/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7">
    <tabColor rgb="FFFFC000"/>
  </sheetPr>
  <dimension ref="B2:K30"/>
  <sheetViews>
    <sheetView showGridLines="0" zoomScale="85" zoomScaleNormal="85" workbookViewId="0">
      <selection activeCell="B2" sqref="B2:H26"/>
    </sheetView>
  </sheetViews>
  <sheetFormatPr defaultColWidth="8.85546875" defaultRowHeight="15" x14ac:dyDescent="0.25"/>
  <cols>
    <col min="1" max="1" width="8.85546875" style="21"/>
    <col min="2" max="2" width="26.42578125" style="50" customWidth="1"/>
    <col min="3" max="7" width="12.42578125" style="37" bestFit="1" customWidth="1"/>
    <col min="8" max="8" width="12.5703125" style="37" bestFit="1" customWidth="1"/>
    <col min="9" max="16384" width="8.85546875" style="21"/>
  </cols>
  <sheetData>
    <row r="2" spans="2:11" ht="15.75" thickBot="1" x14ac:dyDescent="0.3">
      <c r="B2" s="48" t="str">
        <f>'ts1 reddito'!F64</f>
        <v>Linea Acquisizione</v>
      </c>
      <c r="C2" s="36">
        <f>'ts1 reddito'!G64</f>
        <v>0</v>
      </c>
      <c r="D2" s="36">
        <f>'ts1 reddito'!H64</f>
        <v>1</v>
      </c>
      <c r="E2" s="36">
        <f>'ts1 reddito'!I64</f>
        <v>2</v>
      </c>
      <c r="F2" s="36">
        <f>'ts1 reddito'!J64</f>
        <v>3</v>
      </c>
      <c r="G2" s="36">
        <f>'ts1 reddito'!K64</f>
        <v>4</v>
      </c>
      <c r="H2" s="36">
        <f>'ts1 reddito'!L64</f>
        <v>5</v>
      </c>
    </row>
    <row r="3" spans="2:11" ht="15.75" thickTop="1" x14ac:dyDescent="0.25">
      <c r="B3" s="52" t="str">
        <f>'ts1 reddito'!F65</f>
        <v>Finanziamento Iniziale</v>
      </c>
      <c r="D3" s="40">
        <f>'ts1 reddito'!H65</f>
        <v>49000000</v>
      </c>
      <c r="E3" s="40">
        <f>'ts1 reddito'!I65</f>
        <v>49000000</v>
      </c>
      <c r="F3" s="40">
        <f>'ts1 reddito'!J65</f>
        <v>49000000</v>
      </c>
      <c r="G3" s="40">
        <f>'ts1 reddito'!K65</f>
        <v>49000000</v>
      </c>
      <c r="H3" s="40">
        <f>'ts1 reddito'!L65</f>
        <v>49000000</v>
      </c>
    </row>
    <row r="4" spans="2:11" x14ac:dyDescent="0.25">
      <c r="B4" s="50" t="str">
        <f>'ts1 reddito'!F66</f>
        <v>Erogazione</v>
      </c>
      <c r="C4" s="37">
        <f>'ts1 reddito'!G66</f>
        <v>49000000</v>
      </c>
    </row>
    <row r="5" spans="2:11" x14ac:dyDescent="0.25">
      <c r="B5" s="52" t="str">
        <f>'ts1 reddito'!F67</f>
        <v>Arrangement fee</v>
      </c>
      <c r="C5" s="37">
        <f>'ts1 reddito'!G67</f>
        <v>-490000</v>
      </c>
    </row>
    <row r="6" spans="2:11" x14ac:dyDescent="0.25">
      <c r="B6" s="52" t="str">
        <f>'ts1 reddito'!F68</f>
        <v>Costo Upfront copertura cap</v>
      </c>
      <c r="C6" s="37">
        <f>'ts1 reddito'!G68</f>
        <v>-612500</v>
      </c>
    </row>
    <row r="7" spans="2:11" x14ac:dyDescent="0.25">
      <c r="B7" s="50" t="str">
        <f>'ts1 reddito'!F69</f>
        <v>Imposta sostitutiva</v>
      </c>
      <c r="C7" s="37">
        <f>'ts1 reddito'!G69</f>
        <v>-122500</v>
      </c>
    </row>
    <row r="8" spans="2:11" x14ac:dyDescent="0.25">
      <c r="B8" s="50" t="str">
        <f>'ts1 reddito'!F70</f>
        <v>Rimborso</v>
      </c>
      <c r="C8" s="37">
        <f>'ts1 reddito'!G70</f>
        <v>0</v>
      </c>
      <c r="D8" s="37">
        <f>'ts1 reddito'!H70</f>
        <v>0</v>
      </c>
      <c r="E8" s="37">
        <f>'ts1 reddito'!I70</f>
        <v>0</v>
      </c>
      <c r="F8" s="37">
        <f>'ts1 reddito'!J70</f>
        <v>0</v>
      </c>
      <c r="G8" s="37">
        <f>'ts1 reddito'!K70</f>
        <v>0</v>
      </c>
      <c r="H8" s="37">
        <f>'ts1 reddito'!L70</f>
        <v>-49000000</v>
      </c>
    </row>
    <row r="9" spans="2:11" x14ac:dyDescent="0.25">
      <c r="B9" s="52" t="str">
        <f>'ts1 reddito'!F71</f>
        <v>Finanziamento Finale</v>
      </c>
      <c r="C9" s="40">
        <f>'ts1 reddito'!G71</f>
        <v>49000000</v>
      </c>
      <c r="D9" s="40">
        <f>'ts1 reddito'!H71</f>
        <v>49000000</v>
      </c>
      <c r="E9" s="40">
        <f>'ts1 reddito'!I71</f>
        <v>49000000</v>
      </c>
      <c r="F9" s="40">
        <f>'ts1 reddito'!J71</f>
        <v>49000000</v>
      </c>
      <c r="G9" s="40">
        <f>'ts1 reddito'!K71</f>
        <v>49000000</v>
      </c>
      <c r="H9" s="40">
        <f>'ts1 reddito'!L71</f>
        <v>0</v>
      </c>
    </row>
    <row r="10" spans="2:11" x14ac:dyDescent="0.25">
      <c r="B10" s="52" t="str">
        <f>'ts1 reddito'!F72</f>
        <v>LTV</v>
      </c>
      <c r="C10" s="41"/>
      <c r="D10" s="41">
        <f>'ts1 reddito'!H72</f>
        <v>0.68627450980392157</v>
      </c>
      <c r="E10" s="41">
        <f>'ts1 reddito'!I72</f>
        <v>0.67281814686658981</v>
      </c>
      <c r="F10" s="41">
        <f>'ts1 reddito'!J72</f>
        <v>0.65962563418293096</v>
      </c>
      <c r="G10" s="41">
        <f>'ts1 reddito'!K72</f>
        <v>0.64669179821855982</v>
      </c>
      <c r="H10" s="41">
        <f>'ts1 reddito'!L72</f>
        <v>0.63401156688094096</v>
      </c>
    </row>
    <row r="11" spans="2:11" ht="15.75" thickBot="1" x14ac:dyDescent="0.3">
      <c r="B11" s="50" t="str">
        <f>'ts1 reddito'!F73</f>
        <v>Interessi</v>
      </c>
      <c r="D11" s="37">
        <f>'ts1 reddito'!H73</f>
        <v>-2572500</v>
      </c>
      <c r="E11" s="37">
        <f>'ts1 reddito'!I73</f>
        <v>-2572500</v>
      </c>
      <c r="F11" s="37">
        <f>'ts1 reddito'!J73</f>
        <v>-2572500</v>
      </c>
      <c r="G11" s="37">
        <f>'ts1 reddito'!K73</f>
        <v>-2572500</v>
      </c>
      <c r="H11" s="37">
        <f>'ts1 reddito'!L73</f>
        <v>-2572500</v>
      </c>
      <c r="I11" s="33"/>
      <c r="J11" s="33"/>
      <c r="K11" s="33"/>
    </row>
    <row r="12" spans="2:11" s="27" customFormat="1" ht="15.75" thickBot="1" x14ac:dyDescent="0.25">
      <c r="B12" s="186" t="str">
        <f>'ts1 reddito'!F74</f>
        <v>Flusso Linea Acquisizione</v>
      </c>
      <c r="C12" s="184">
        <f>'ts1 reddito'!G74</f>
        <v>47775000</v>
      </c>
      <c r="D12" s="184">
        <f>'ts1 reddito'!H74</f>
        <v>-2572500</v>
      </c>
      <c r="E12" s="184">
        <f>'ts1 reddito'!I74</f>
        <v>-2572500</v>
      </c>
      <c r="F12" s="184">
        <f>'ts1 reddito'!J74</f>
        <v>-2572500</v>
      </c>
      <c r="G12" s="184">
        <f>'ts1 reddito'!K74</f>
        <v>-2572500</v>
      </c>
      <c r="H12" s="185">
        <f>'ts1 reddito'!L74</f>
        <v>-51572500</v>
      </c>
    </row>
    <row r="13" spans="2:11" s="27" customFormat="1" x14ac:dyDescent="0.2">
      <c r="B13" s="52" t="str">
        <f>'ts1 reddito'!F75</f>
        <v>Covenant ISCR</v>
      </c>
      <c r="C13" s="44"/>
      <c r="D13" s="45">
        <f>'ts1 reddito'!H75</f>
        <v>1.8612244897959183</v>
      </c>
      <c r="E13" s="45">
        <f>'ts1 reddito'!I75</f>
        <v>1.8984489795918367</v>
      </c>
      <c r="F13" s="45">
        <f>'ts1 reddito'!J75</f>
        <v>1.9364179591836734</v>
      </c>
      <c r="G13" s="45">
        <f>'ts1 reddito'!K75</f>
        <v>1.975146318367347</v>
      </c>
      <c r="H13" s="45">
        <f>'ts1 reddito'!L75</f>
        <v>2.0146492447346942</v>
      </c>
    </row>
    <row r="14" spans="2:11" s="28" customFormat="1" x14ac:dyDescent="0.25">
      <c r="B14" s="52" t="str">
        <f>'ts1 reddito'!F76</f>
        <v>Check</v>
      </c>
      <c r="C14" s="64"/>
      <c r="D14" s="65" t="str">
        <f>'ts1 reddito'!H76</f>
        <v>OK</v>
      </c>
      <c r="E14" s="65" t="str">
        <f>'ts1 reddito'!I76</f>
        <v>OK</v>
      </c>
      <c r="F14" s="65" t="str">
        <f>'ts1 reddito'!J76</f>
        <v>OK</v>
      </c>
      <c r="G14" s="65" t="str">
        <f>'ts1 reddito'!K76</f>
        <v>OK</v>
      </c>
      <c r="H14" s="65" t="str">
        <f>'ts1 reddito'!L76</f>
        <v>OK</v>
      </c>
    </row>
    <row r="15" spans="2:11" s="27" customFormat="1" x14ac:dyDescent="0.2">
      <c r="B15" s="52" t="str">
        <f>'ts1 reddito'!F77</f>
        <v>Yield on Debt</v>
      </c>
      <c r="C15" s="44"/>
      <c r="D15" s="45">
        <f>'ts1 reddito'!H77</f>
        <v>9.7714285714285712E-2</v>
      </c>
      <c r="E15" s="45">
        <f>'ts1 reddito'!I77</f>
        <v>9.9668571428571426E-2</v>
      </c>
      <c r="F15" s="45">
        <f>'ts1 reddito'!J77</f>
        <v>0.10166194285714286</v>
      </c>
      <c r="G15" s="45">
        <f>'ts1 reddito'!K77</f>
        <v>0.10369518171428571</v>
      </c>
      <c r="H15" s="45"/>
    </row>
    <row r="16" spans="2:11" x14ac:dyDescent="0.25">
      <c r="B16" s="52"/>
    </row>
    <row r="17" spans="2:8" x14ac:dyDescent="0.25">
      <c r="B17" s="53" t="str">
        <f>'ts1 reddito'!F79</f>
        <v>Linea IVA</v>
      </c>
      <c r="C17" s="42"/>
      <c r="D17" s="42"/>
      <c r="E17" s="42"/>
      <c r="F17" s="42"/>
      <c r="G17" s="42"/>
      <c r="H17" s="42"/>
    </row>
    <row r="18" spans="2:8" x14ac:dyDescent="0.25">
      <c r="B18" s="52" t="str">
        <f>'ts1 reddito'!F80</f>
        <v>Finanziamento Iniziale</v>
      </c>
      <c r="D18" s="40">
        <f>'ts1 reddito'!H80</f>
        <v>10000000</v>
      </c>
      <c r="E18" s="40">
        <f>'ts1 reddito'!I80</f>
        <v>10000000</v>
      </c>
      <c r="F18" s="40">
        <f>'ts1 reddito'!J80</f>
        <v>10000000</v>
      </c>
      <c r="G18" s="40">
        <f>'ts1 reddito'!K80</f>
        <v>0</v>
      </c>
      <c r="H18" s="40">
        <f>'ts1 reddito'!L80</f>
        <v>0</v>
      </c>
    </row>
    <row r="19" spans="2:8" x14ac:dyDescent="0.25">
      <c r="B19" s="50" t="str">
        <f>'ts1 reddito'!F81</f>
        <v>Erogazione</v>
      </c>
      <c r="C19" s="37">
        <f>'ts1 reddito'!G81</f>
        <v>10000000</v>
      </c>
    </row>
    <row r="20" spans="2:8" x14ac:dyDescent="0.25">
      <c r="B20" s="52" t="str">
        <f>'ts1 reddito'!F82</f>
        <v>Arrangement fee</v>
      </c>
      <c r="C20" s="37">
        <f>'ts1 reddito'!G82</f>
        <v>-100000</v>
      </c>
    </row>
    <row r="21" spans="2:8" x14ac:dyDescent="0.25">
      <c r="B21" s="52" t="str">
        <f>'ts1 reddito'!F83</f>
        <v>Costo Upfront copertura cap</v>
      </c>
      <c r="C21" s="37">
        <f>'ts1 reddito'!G83</f>
        <v>-125000</v>
      </c>
    </row>
    <row r="22" spans="2:8" x14ac:dyDescent="0.25">
      <c r="B22" s="50" t="str">
        <f>'ts1 reddito'!F84</f>
        <v>Imposta sostitutiva</v>
      </c>
      <c r="C22" s="37">
        <f>'ts1 reddito'!G84</f>
        <v>-25000</v>
      </c>
    </row>
    <row r="23" spans="2:8" x14ac:dyDescent="0.25">
      <c r="B23" s="50" t="str">
        <f>'ts1 reddito'!F85</f>
        <v>Rimborso</v>
      </c>
      <c r="D23" s="37">
        <f>'ts1 reddito'!H85</f>
        <v>0</v>
      </c>
      <c r="E23" s="37">
        <f>'ts1 reddito'!I85</f>
        <v>0</v>
      </c>
      <c r="F23" s="37">
        <f>'ts1 reddito'!J85</f>
        <v>-10000000</v>
      </c>
      <c r="G23" s="37">
        <f>'ts1 reddito'!K85</f>
        <v>0</v>
      </c>
      <c r="H23" s="37">
        <f>'ts1 reddito'!L85</f>
        <v>0</v>
      </c>
    </row>
    <row r="24" spans="2:8" x14ac:dyDescent="0.25">
      <c r="B24" s="52" t="str">
        <f>'ts1 reddito'!F86</f>
        <v>Finanziamento Finale</v>
      </c>
      <c r="C24" s="40">
        <f>'ts1 reddito'!G86</f>
        <v>10000000</v>
      </c>
      <c r="D24" s="40">
        <f>'ts1 reddito'!H86</f>
        <v>10000000</v>
      </c>
      <c r="E24" s="40">
        <f>'ts1 reddito'!I86</f>
        <v>10000000</v>
      </c>
      <c r="F24" s="40">
        <f>'ts1 reddito'!J86</f>
        <v>0</v>
      </c>
      <c r="G24" s="40">
        <f>'ts1 reddito'!K86</f>
        <v>0</v>
      </c>
      <c r="H24" s="40">
        <f>'ts1 reddito'!L86</f>
        <v>0</v>
      </c>
    </row>
    <row r="25" spans="2:8" ht="15.75" thickBot="1" x14ac:dyDescent="0.3">
      <c r="B25" s="50" t="str">
        <f>'ts1 reddito'!F87</f>
        <v>Interessi</v>
      </c>
      <c r="D25" s="37">
        <f>'ts1 reddito'!H87</f>
        <v>-500000</v>
      </c>
      <c r="E25" s="37">
        <f>'ts1 reddito'!I87</f>
        <v>-500000</v>
      </c>
      <c r="F25" s="37">
        <f>'ts1 reddito'!J87</f>
        <v>-500000</v>
      </c>
      <c r="G25" s="37">
        <f>'ts1 reddito'!K87</f>
        <v>0</v>
      </c>
      <c r="H25" s="37">
        <f>'ts1 reddito'!L87</f>
        <v>0</v>
      </c>
    </row>
    <row r="26" spans="2:8" ht="15.75" thickBot="1" x14ac:dyDescent="0.3">
      <c r="B26" s="183" t="str">
        <f>'ts1 reddito'!F88</f>
        <v>Flusso Linea IVA</v>
      </c>
      <c r="C26" s="184">
        <f>'ts1 reddito'!G88</f>
        <v>9750000</v>
      </c>
      <c r="D26" s="184">
        <f>'ts1 reddito'!H88</f>
        <v>-500000</v>
      </c>
      <c r="E26" s="184">
        <f>'ts1 reddito'!I88</f>
        <v>-500000</v>
      </c>
      <c r="F26" s="184">
        <f>'ts1 reddito'!J88</f>
        <v>-10500000</v>
      </c>
      <c r="G26" s="184">
        <f>'ts1 reddito'!K88</f>
        <v>0</v>
      </c>
      <c r="H26" s="185">
        <f>'ts1 reddito'!L88</f>
        <v>0</v>
      </c>
    </row>
    <row r="27" spans="2:8" x14ac:dyDescent="0.25">
      <c r="C27" s="38"/>
      <c r="D27" s="38"/>
      <c r="E27" s="38"/>
      <c r="F27" s="38"/>
      <c r="G27" s="38"/>
      <c r="H27" s="38"/>
    </row>
    <row r="28" spans="2:8" x14ac:dyDescent="0.25">
      <c r="C28" s="46"/>
      <c r="D28" s="46"/>
      <c r="E28" s="46"/>
      <c r="F28" s="46"/>
      <c r="G28" s="46"/>
      <c r="H28" s="46"/>
    </row>
    <row r="29" spans="2:8" x14ac:dyDescent="0.25">
      <c r="C29" s="47"/>
      <c r="D29" s="44"/>
      <c r="E29" s="44"/>
      <c r="F29" s="44"/>
      <c r="G29" s="44"/>
      <c r="H29" s="44"/>
    </row>
    <row r="30" spans="2:8" x14ac:dyDescent="0.25">
      <c r="C30" s="47"/>
      <c r="D30" s="44"/>
      <c r="E30" s="44"/>
      <c r="F30" s="44"/>
      <c r="G30" s="44"/>
      <c r="H30" s="44"/>
    </row>
  </sheetData>
  <phoneticPr fontId="19" type="noConversion"/>
  <conditionalFormatting sqref="D14:H15">
    <cfRule type="cellIs" dxfId="22" priority="2" operator="equal">
      <formula>"no"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8">
    <tabColor rgb="FFFFC000"/>
  </sheetPr>
  <dimension ref="A1:I10"/>
  <sheetViews>
    <sheetView showGridLines="0" workbookViewId="0">
      <selection activeCell="I7" sqref="B2:I7"/>
    </sheetView>
  </sheetViews>
  <sheetFormatPr defaultColWidth="8.85546875" defaultRowHeight="15" x14ac:dyDescent="0.25"/>
  <cols>
    <col min="1" max="1" width="8.85546875" style="21"/>
    <col min="2" max="2" width="27.85546875" style="50" bestFit="1" customWidth="1"/>
    <col min="3" max="3" width="12.5703125" style="37" bestFit="1" customWidth="1"/>
    <col min="4" max="5" width="10.7109375" style="37" bestFit="1" customWidth="1"/>
    <col min="6" max="6" width="11.42578125" style="37" bestFit="1" customWidth="1"/>
    <col min="7" max="7" width="10.7109375" style="37" bestFit="1" customWidth="1"/>
    <col min="8" max="8" width="11.85546875" style="37" bestFit="1" customWidth="1"/>
    <col min="9" max="9" width="8.28515625" style="37" bestFit="1" customWidth="1"/>
    <col min="10" max="16384" width="8.85546875" style="21"/>
  </cols>
  <sheetData>
    <row r="1" spans="1:9" x14ac:dyDescent="0.25">
      <c r="B1" s="49"/>
      <c r="C1" s="38"/>
      <c r="D1" s="38"/>
      <c r="E1" s="38"/>
      <c r="F1" s="38"/>
      <c r="G1" s="38"/>
      <c r="H1" s="38"/>
      <c r="I1" s="63"/>
    </row>
    <row r="2" spans="1:9" ht="15.75" thickBot="1" x14ac:dyDescent="0.3">
      <c r="B2" s="48" t="str">
        <f>'ts1 reddito'!F91</f>
        <v>Sintesi Flussi</v>
      </c>
      <c r="C2" s="36">
        <f>'ts1 reddito'!G91</f>
        <v>0</v>
      </c>
      <c r="D2" s="36">
        <f>'ts1 reddito'!H91</f>
        <v>1</v>
      </c>
      <c r="E2" s="36">
        <f>'ts1 reddito'!I91</f>
        <v>2</v>
      </c>
      <c r="F2" s="36">
        <f>'ts1 reddito'!J91</f>
        <v>3</v>
      </c>
      <c r="G2" s="36">
        <f>'ts1 reddito'!K91</f>
        <v>4</v>
      </c>
      <c r="H2" s="36">
        <f>'ts1 reddito'!L91</f>
        <v>5</v>
      </c>
      <c r="I2" s="66" t="str">
        <f>'ts1 reddito'!M91</f>
        <v>IRR</v>
      </c>
    </row>
    <row r="3" spans="1:9" ht="15.75" thickTop="1" x14ac:dyDescent="0.25">
      <c r="B3" s="50" t="str">
        <f>'ts1 reddito'!F92</f>
        <v>Flusso Immobiliare</v>
      </c>
      <c r="C3" s="37">
        <f>'ts1 reddito'!G92</f>
        <v>-70000000</v>
      </c>
      <c r="D3" s="37">
        <f>'ts1 reddito'!H92</f>
        <v>4788000</v>
      </c>
      <c r="E3" s="37">
        <f>'ts1 reddito'!I92</f>
        <v>4883760</v>
      </c>
      <c r="F3" s="37">
        <f>'ts1 reddito'!J92</f>
        <v>4981435.2</v>
      </c>
      <c r="G3" s="37">
        <f>'ts1 reddito'!K92</f>
        <v>5081063.9040000001</v>
      </c>
      <c r="H3" s="37">
        <f>'ts1 reddito'!L92</f>
        <v>82468342.406080022</v>
      </c>
      <c r="I3" s="54">
        <f>'ts1 reddito'!M92</f>
        <v>8.8400002308482772E-2</v>
      </c>
    </row>
    <row r="4" spans="1:9" x14ac:dyDescent="0.25">
      <c r="B4" s="50" t="str">
        <f>'ts1 reddito'!F93</f>
        <v>Flusso Operativo con IVA</v>
      </c>
      <c r="C4" s="37">
        <f>'ts1 reddito'!G93</f>
        <v>-85400000</v>
      </c>
      <c r="D4" s="37">
        <f>'ts1 reddito'!H93</f>
        <v>4788000</v>
      </c>
      <c r="E4" s="37">
        <f>'ts1 reddito'!I93</f>
        <v>4883760</v>
      </c>
      <c r="F4" s="37">
        <f>'ts1 reddito'!J93</f>
        <v>20381435.199999999</v>
      </c>
      <c r="G4" s="37">
        <f>'ts1 reddito'!K93</f>
        <v>5081063.9040000001</v>
      </c>
      <c r="H4" s="37">
        <f>'ts1 reddito'!L93</f>
        <v>82468342.406080022</v>
      </c>
      <c r="I4" s="54">
        <f>'ts1 reddito'!M93</f>
        <v>7.7776986855060182E-2</v>
      </c>
    </row>
    <row r="5" spans="1:9" s="27" customFormat="1" x14ac:dyDescent="0.2">
      <c r="B5" s="50" t="str">
        <f>'ts1 reddito'!F94</f>
        <v>Flusso Linea Acquisizione</v>
      </c>
      <c r="C5" s="37">
        <f>'ts1 reddito'!G94</f>
        <v>47775000</v>
      </c>
      <c r="D5" s="37">
        <f>'ts1 reddito'!H94</f>
        <v>-2572500</v>
      </c>
      <c r="E5" s="37">
        <f>'ts1 reddito'!I94</f>
        <v>-2572500</v>
      </c>
      <c r="F5" s="37">
        <f>'ts1 reddito'!J94</f>
        <v>-2572500</v>
      </c>
      <c r="G5" s="37">
        <f>'ts1 reddito'!K94</f>
        <v>-2572500</v>
      </c>
      <c r="H5" s="37">
        <f>'ts1 reddito'!L94</f>
        <v>-51572500</v>
      </c>
      <c r="I5" s="54">
        <f>'ts1 reddito'!M94</f>
        <v>5.8409249755334347E-2</v>
      </c>
    </row>
    <row r="6" spans="1:9" x14ac:dyDescent="0.25">
      <c r="B6" s="51" t="str">
        <f>'ts1 reddito'!F95</f>
        <v>Flusso Linea IVA</v>
      </c>
      <c r="C6" s="39">
        <f>'ts1 reddito'!G95</f>
        <v>9750000</v>
      </c>
      <c r="D6" s="39">
        <f>'ts1 reddito'!H95</f>
        <v>-500000</v>
      </c>
      <c r="E6" s="39">
        <f>'ts1 reddito'!I95</f>
        <v>-500000</v>
      </c>
      <c r="F6" s="39">
        <f>'ts1 reddito'!J95</f>
        <v>-10500000</v>
      </c>
      <c r="G6" s="39">
        <f>'ts1 reddito'!K95</f>
        <v>0</v>
      </c>
      <c r="H6" s="39">
        <f>'ts1 reddito'!L95</f>
        <v>0</v>
      </c>
      <c r="I6" s="94">
        <f>'ts1 reddito'!M95</f>
        <v>5.9341350158554906E-2</v>
      </c>
    </row>
    <row r="7" spans="1:9" x14ac:dyDescent="0.25">
      <c r="A7" s="38"/>
      <c r="B7" s="229" t="str">
        <f>'ts1 reddito'!F96</f>
        <v>Flusso Azionista</v>
      </c>
      <c r="C7" s="230">
        <f>'ts1 reddito'!G96</f>
        <v>-27875000</v>
      </c>
      <c r="D7" s="230">
        <f>'ts1 reddito'!H96</f>
        <v>1715500</v>
      </c>
      <c r="E7" s="230">
        <f>'ts1 reddito'!I96</f>
        <v>1811260</v>
      </c>
      <c r="F7" s="230">
        <f>'ts1 reddito'!J96</f>
        <v>7308935.1999999993</v>
      </c>
      <c r="G7" s="230">
        <f>'ts1 reddito'!K96</f>
        <v>2508563.9040000001</v>
      </c>
      <c r="H7" s="230">
        <f>'ts1 reddito'!L96</f>
        <v>30895842.406080022</v>
      </c>
      <c r="I7" s="247">
        <f>'ts1 reddito'!M96</f>
        <v>0.11446333553002308</v>
      </c>
    </row>
    <row r="8" spans="1:9" x14ac:dyDescent="0.25">
      <c r="C8" s="46"/>
      <c r="D8" s="46"/>
      <c r="E8" s="46"/>
      <c r="F8" s="46"/>
      <c r="G8" s="46"/>
      <c r="H8" s="46"/>
    </row>
    <row r="9" spans="1:9" x14ac:dyDescent="0.25">
      <c r="C9" s="47"/>
      <c r="D9" s="44"/>
      <c r="E9" s="44"/>
      <c r="F9" s="44"/>
      <c r="G9" s="44"/>
      <c r="H9" s="44"/>
    </row>
    <row r="10" spans="1:9" x14ac:dyDescent="0.25">
      <c r="C10" s="47"/>
      <c r="D10" s="44"/>
      <c r="E10" s="44"/>
      <c r="F10" s="44"/>
      <c r="G10" s="44"/>
      <c r="H10" s="44"/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oglio9">
    <tabColor rgb="FFFFFF00"/>
    <pageSetUpPr fitToPage="1"/>
  </sheetPr>
  <dimension ref="A1:U154"/>
  <sheetViews>
    <sheetView showGridLines="0" topLeftCell="D124" zoomScale="85" zoomScaleNormal="85" workbookViewId="0">
      <selection activeCell="U148" sqref="U148"/>
    </sheetView>
  </sheetViews>
  <sheetFormatPr defaultColWidth="8.28515625" defaultRowHeight="9.6" customHeight="1" outlineLevelRow="1" outlineLevelCol="1" x14ac:dyDescent="0.25"/>
  <cols>
    <col min="1" max="1" width="8.28515625" style="99"/>
    <col min="2" max="3" width="31" style="99" customWidth="1" outlineLevel="1"/>
    <col min="4" max="4" width="8.28515625" style="99"/>
    <col min="5" max="5" width="31" style="99" bestFit="1" customWidth="1"/>
    <col min="6" max="6" width="12.28515625" style="101" bestFit="1" customWidth="1"/>
    <col min="7" max="7" width="12.42578125" style="101" bestFit="1" customWidth="1"/>
    <col min="8" max="8" width="16" style="100" bestFit="1" customWidth="1"/>
    <col min="9" max="13" width="12.28515625" style="100" bestFit="1" customWidth="1"/>
    <col min="14" max="14" width="12.42578125" style="100" bestFit="1" customWidth="1"/>
    <col min="15" max="15" width="11.140625" style="100" bestFit="1" customWidth="1"/>
    <col min="16" max="16" width="11.28515625" style="100" bestFit="1" customWidth="1"/>
    <col min="17" max="17" width="5.28515625" style="100" bestFit="1" customWidth="1"/>
    <col min="18" max="18" width="8.28515625" style="100"/>
    <col min="19" max="19" width="11.85546875" style="100" bestFit="1" customWidth="1"/>
    <col min="20" max="20" width="8" style="100" bestFit="1" customWidth="1"/>
    <col min="21" max="21" width="10.140625" style="100" bestFit="1" customWidth="1"/>
    <col min="22" max="16384" width="8.28515625" style="99"/>
  </cols>
  <sheetData>
    <row r="1" spans="1:11" ht="15" x14ac:dyDescent="0.25">
      <c r="A1" s="190">
        <v>1</v>
      </c>
    </row>
    <row r="2" spans="1:11" ht="30.75" hidden="1" outlineLevel="1" thickBot="1" x14ac:dyDescent="0.3">
      <c r="F2" s="214" t="s">
        <v>53</v>
      </c>
      <c r="G2" s="214" t="s">
        <v>52</v>
      </c>
      <c r="H2" s="214" t="s">
        <v>21</v>
      </c>
      <c r="I2" s="214" t="s">
        <v>75</v>
      </c>
      <c r="J2" s="214" t="s">
        <v>74</v>
      </c>
      <c r="K2" s="214" t="s">
        <v>11</v>
      </c>
    </row>
    <row r="3" spans="1:11" ht="31.5" hidden="1" outlineLevel="1" thickTop="1" thickBot="1" x14ac:dyDescent="0.3">
      <c r="F3" s="214" t="s">
        <v>204</v>
      </c>
      <c r="G3" s="214" t="s">
        <v>252</v>
      </c>
      <c r="H3" s="214" t="s">
        <v>253</v>
      </c>
      <c r="I3" s="214" t="s">
        <v>254</v>
      </c>
      <c r="J3" s="214" t="s">
        <v>74</v>
      </c>
      <c r="K3" s="214" t="s">
        <v>11</v>
      </c>
    </row>
    <row r="4" spans="1:11" ht="15" collapsed="1" x14ac:dyDescent="0.25"/>
    <row r="5" spans="1:11" ht="30.75" thickBot="1" x14ac:dyDescent="0.3">
      <c r="B5" s="214" t="s">
        <v>261</v>
      </c>
      <c r="C5" s="214" t="s">
        <v>260</v>
      </c>
      <c r="D5" s="248" t="s">
        <v>243</v>
      </c>
      <c r="E5" s="143" t="str">
        <f t="shared" ref="E5:E12" si="0">IF($A$1=1,B5,C5)</f>
        <v>ACQUISIZIONE PORTAFOGLIO</v>
      </c>
      <c r="F5" s="143" t="str">
        <f t="shared" ref="F5:K5" si="1">IF($A$1=1,F2,F3)</f>
        <v>Prezzo</v>
      </c>
      <c r="G5" s="143" t="str">
        <f t="shared" si="1"/>
        <v>Valutazione</v>
      </c>
      <c r="H5" s="143" t="str">
        <f t="shared" si="1"/>
        <v>Canone di Locazione Netto</v>
      </c>
      <c r="I5" s="143" t="str">
        <f t="shared" si="1"/>
        <v>% Valore</v>
      </c>
      <c r="J5" s="143" t="str">
        <f t="shared" si="1"/>
        <v>ALA</v>
      </c>
      <c r="K5" s="143" t="str">
        <f t="shared" si="1"/>
        <v>Release Pricing</v>
      </c>
    </row>
    <row r="6" spans="1:11" ht="15.75" thickTop="1" x14ac:dyDescent="0.25">
      <c r="B6" s="191" t="s">
        <v>55</v>
      </c>
      <c r="C6" s="191" t="s">
        <v>255</v>
      </c>
      <c r="D6" s="248"/>
      <c r="E6" s="99" t="str">
        <f t="shared" si="0"/>
        <v>Immobile 1</v>
      </c>
      <c r="G6" s="194">
        <v>5950000</v>
      </c>
      <c r="H6" s="100">
        <f>G6*$H$12</f>
        <v>357000</v>
      </c>
      <c r="I6" s="121">
        <f>G6/$G$11</f>
        <v>0.12853748109742924</v>
      </c>
      <c r="J6" s="100">
        <f>I6*$F$37</f>
        <v>3856124.4329228774</v>
      </c>
      <c r="K6" s="100">
        <f>J6*$K$12</f>
        <v>4627349.3195074527</v>
      </c>
    </row>
    <row r="7" spans="1:11" ht="15" x14ac:dyDescent="0.25">
      <c r="B7" s="191" t="s">
        <v>56</v>
      </c>
      <c r="C7" s="191" t="s">
        <v>256</v>
      </c>
      <c r="D7" s="248"/>
      <c r="E7" s="99" t="str">
        <f t="shared" si="0"/>
        <v>Immobile 2</v>
      </c>
      <c r="G7" s="194">
        <v>8940000</v>
      </c>
      <c r="H7" s="100">
        <f>G7*$H$12</f>
        <v>536400</v>
      </c>
      <c r="I7" s="121">
        <f>G7/$G$11</f>
        <v>0.19313026571613739</v>
      </c>
      <c r="J7" s="100">
        <f>I7*$F$37</f>
        <v>5793907.9714841219</v>
      </c>
      <c r="K7" s="100">
        <f>J7*$K$12</f>
        <v>6952689.5657809461</v>
      </c>
    </row>
    <row r="8" spans="1:11" ht="15" x14ac:dyDescent="0.25">
      <c r="B8" s="191" t="s">
        <v>57</v>
      </c>
      <c r="C8" s="191" t="s">
        <v>257</v>
      </c>
      <c r="D8" s="248"/>
      <c r="E8" s="99" t="str">
        <f t="shared" si="0"/>
        <v>Immobile 3</v>
      </c>
      <c r="G8" s="194">
        <v>3700000</v>
      </c>
      <c r="H8" s="100">
        <f>G8*$H$12</f>
        <v>222000</v>
      </c>
      <c r="I8" s="121">
        <f>G8/$G$11</f>
        <v>7.9930870598401385E-2</v>
      </c>
      <c r="J8" s="100">
        <f>I8*$F$37</f>
        <v>2397926.1179520413</v>
      </c>
      <c r="K8" s="100">
        <f>J8*$K$12</f>
        <v>2877511.3415424493</v>
      </c>
    </row>
    <row r="9" spans="1:11" ht="15" x14ac:dyDescent="0.25">
      <c r="B9" s="191" t="s">
        <v>58</v>
      </c>
      <c r="C9" s="191" t="s">
        <v>258</v>
      </c>
      <c r="D9" s="248"/>
      <c r="E9" s="99" t="str">
        <f t="shared" si="0"/>
        <v>Immobile 4</v>
      </c>
      <c r="G9" s="194">
        <v>17800000</v>
      </c>
      <c r="H9" s="100">
        <f>G9*$H$12</f>
        <v>1068000</v>
      </c>
      <c r="I9" s="121">
        <f>G9/$G$11</f>
        <v>0.38453229639230935</v>
      </c>
      <c r="J9" s="100">
        <f>I9*$F$37</f>
        <v>11535968.891769281</v>
      </c>
      <c r="K9" s="100">
        <f>J9*$K$12</f>
        <v>13843162.670123136</v>
      </c>
    </row>
    <row r="10" spans="1:11" ht="15" x14ac:dyDescent="0.25">
      <c r="B10" s="215" t="s">
        <v>59</v>
      </c>
      <c r="C10" s="215" t="s">
        <v>259</v>
      </c>
      <c r="D10" s="248"/>
      <c r="E10" s="144" t="str">
        <f t="shared" si="0"/>
        <v>Immobile 5</v>
      </c>
      <c r="F10" s="132"/>
      <c r="G10" s="216">
        <v>9900000</v>
      </c>
      <c r="H10" s="126">
        <f>G10*$H$12</f>
        <v>594000</v>
      </c>
      <c r="I10" s="145">
        <f>G10/$G$11</f>
        <v>0.21386908619572262</v>
      </c>
      <c r="J10" s="126">
        <f>I10*$F$37</f>
        <v>6416072.5858716788</v>
      </c>
      <c r="K10" s="126">
        <f>J10*$K$12</f>
        <v>7699287.103046014</v>
      </c>
    </row>
    <row r="11" spans="1:11" ht="15" x14ac:dyDescent="0.25">
      <c r="B11" s="196" t="s">
        <v>54</v>
      </c>
      <c r="C11" s="196" t="s">
        <v>262</v>
      </c>
      <c r="D11" s="248"/>
      <c r="E11" s="102" t="str">
        <f t="shared" si="0"/>
        <v>Portafoglio</v>
      </c>
      <c r="F11" s="194">
        <v>39000000</v>
      </c>
      <c r="G11" s="103">
        <f>SUM(G6:G10)</f>
        <v>46290000</v>
      </c>
      <c r="H11" s="103">
        <f>SUM(H6:H10)</f>
        <v>2777400</v>
      </c>
      <c r="I11" s="120">
        <f>SUM(I6:I10)</f>
        <v>1</v>
      </c>
      <c r="J11" s="103">
        <f>SUM(J6:J10)</f>
        <v>29999999.999999996</v>
      </c>
      <c r="K11" s="103">
        <f>SUM(K6:K10)</f>
        <v>36000000</v>
      </c>
    </row>
    <row r="12" spans="1:11" ht="15" x14ac:dyDescent="0.25">
      <c r="B12" s="196" t="s">
        <v>2</v>
      </c>
      <c r="C12" s="196" t="s">
        <v>207</v>
      </c>
      <c r="D12" s="248"/>
      <c r="E12" s="102" t="str">
        <f t="shared" si="0"/>
        <v>IVA</v>
      </c>
      <c r="F12" s="103">
        <f>F11*G12</f>
        <v>8580000</v>
      </c>
      <c r="G12" s="195">
        <v>0.22</v>
      </c>
      <c r="H12" s="200">
        <v>0.06</v>
      </c>
      <c r="I12" s="200">
        <v>0.02</v>
      </c>
      <c r="K12" s="195">
        <v>1.2</v>
      </c>
    </row>
    <row r="13" spans="1:11" ht="15" x14ac:dyDescent="0.25"/>
    <row r="14" spans="1:11" ht="15.75" thickBot="1" x14ac:dyDescent="0.3">
      <c r="B14" s="217" t="s">
        <v>50</v>
      </c>
      <c r="C14" s="217" t="s">
        <v>263</v>
      </c>
      <c r="D14" s="248" t="s">
        <v>244</v>
      </c>
      <c r="E14" s="146" t="str">
        <f t="shared" ref="E14:E22" si="2">IF($A$1=1,B14,C14)</f>
        <v xml:space="preserve">Linea </v>
      </c>
      <c r="F14" s="204" t="s">
        <v>47</v>
      </c>
      <c r="G14" s="204" t="s">
        <v>48</v>
      </c>
      <c r="H14" s="204" t="s">
        <v>49</v>
      </c>
      <c r="I14" s="135" t="str">
        <f>IF($A$1=1,"B (IVA)","B (VAT)")</f>
        <v>B (IVA)</v>
      </c>
    </row>
    <row r="15" spans="1:11" ht="15.75" thickTop="1" x14ac:dyDescent="0.25">
      <c r="B15" s="191" t="s">
        <v>51</v>
      </c>
      <c r="C15" s="191" t="s">
        <v>264</v>
      </c>
      <c r="D15" s="248"/>
      <c r="E15" s="99" t="str">
        <f t="shared" si="2"/>
        <v>Valore assoluto</v>
      </c>
      <c r="F15" s="218">
        <v>10000000</v>
      </c>
      <c r="G15" s="218">
        <v>10000000</v>
      </c>
      <c r="H15" s="218">
        <v>10000000</v>
      </c>
      <c r="I15" s="218">
        <v>8000000</v>
      </c>
    </row>
    <row r="16" spans="1:11" ht="15" x14ac:dyDescent="0.25">
      <c r="B16" s="191" t="s">
        <v>175</v>
      </c>
      <c r="C16" s="191" t="s">
        <v>265</v>
      </c>
      <c r="D16" s="248"/>
      <c r="E16" s="99" t="str">
        <f t="shared" si="2"/>
        <v>Vincolo LTV %</v>
      </c>
      <c r="F16" s="195">
        <v>0.4</v>
      </c>
      <c r="G16" s="195">
        <v>0.6</v>
      </c>
      <c r="H16" s="195">
        <v>0.7</v>
      </c>
      <c r="I16" s="101"/>
    </row>
    <row r="17" spans="2:10" ht="15" x14ac:dyDescent="0.25">
      <c r="B17" s="191" t="s">
        <v>17</v>
      </c>
      <c r="C17" s="191" t="s">
        <v>266</v>
      </c>
      <c r="D17" s="248"/>
      <c r="E17" s="99" t="str">
        <f t="shared" si="2"/>
        <v>Vincolo LTV</v>
      </c>
      <c r="F17" s="115">
        <f>$G$11*F16</f>
        <v>18516000</v>
      </c>
      <c r="G17" s="115">
        <f>$G$11*G16</f>
        <v>27774000</v>
      </c>
      <c r="H17" s="115">
        <f>$G$11*H16</f>
        <v>32402999.999999996</v>
      </c>
    </row>
    <row r="18" spans="2:10" ht="15" x14ac:dyDescent="0.25">
      <c r="B18" s="191" t="s">
        <v>176</v>
      </c>
      <c r="C18" s="191" t="s">
        <v>267</v>
      </c>
      <c r="D18" s="248"/>
      <c r="E18" s="99" t="str">
        <f t="shared" si="2"/>
        <v>Vincolo LTC %</v>
      </c>
      <c r="F18" s="104"/>
      <c r="G18" s="104"/>
      <c r="H18" s="195">
        <v>0.8</v>
      </c>
      <c r="I18" s="101"/>
    </row>
    <row r="19" spans="2:10" ht="15" x14ac:dyDescent="0.25">
      <c r="B19" s="191" t="s">
        <v>177</v>
      </c>
      <c r="C19" s="191" t="s">
        <v>268</v>
      </c>
      <c r="D19" s="248"/>
      <c r="E19" s="99" t="str">
        <f t="shared" si="2"/>
        <v>Vincolo LTC</v>
      </c>
      <c r="F19" s="140"/>
      <c r="G19" s="140"/>
      <c r="H19" s="115">
        <f>H18*F11</f>
        <v>31200000</v>
      </c>
      <c r="I19" s="101"/>
    </row>
    <row r="20" spans="2:10" ht="15" x14ac:dyDescent="0.25">
      <c r="B20" s="191" t="s">
        <v>61</v>
      </c>
      <c r="C20" s="191" t="s">
        <v>269</v>
      </c>
      <c r="D20" s="248"/>
      <c r="E20" s="99" t="str">
        <f t="shared" si="2"/>
        <v>Differenza Linee precedenti</v>
      </c>
      <c r="F20" s="140"/>
      <c r="G20" s="115">
        <f>G17-F22</f>
        <v>17774000</v>
      </c>
      <c r="H20" s="115">
        <f>MIN(H17-SUM(F22:G22),H19-SUM(F22:G22))</f>
        <v>11200000</v>
      </c>
      <c r="I20" s="101"/>
    </row>
    <row r="21" spans="2:10" ht="15" x14ac:dyDescent="0.25">
      <c r="B21" s="215" t="s">
        <v>2</v>
      </c>
      <c r="C21" s="215" t="s">
        <v>207</v>
      </c>
      <c r="D21" s="248"/>
      <c r="E21" s="144" t="str">
        <f t="shared" si="2"/>
        <v>IVA</v>
      </c>
      <c r="F21" s="165"/>
      <c r="G21" s="130"/>
      <c r="H21" s="130"/>
      <c r="I21" s="126">
        <f>F12</f>
        <v>8580000</v>
      </c>
    </row>
    <row r="22" spans="2:10" ht="15" x14ac:dyDescent="0.25">
      <c r="B22" s="196" t="s">
        <v>60</v>
      </c>
      <c r="C22" s="196" t="s">
        <v>378</v>
      </c>
      <c r="D22" s="248"/>
      <c r="E22" s="102" t="str">
        <f t="shared" si="2"/>
        <v>Importo erogato</v>
      </c>
      <c r="F22" s="103">
        <f>MIN(F15,F17)</f>
        <v>10000000</v>
      </c>
      <c r="G22" s="103">
        <f>MIN(G15,(MAX(0,G20)))</f>
        <v>10000000</v>
      </c>
      <c r="H22" s="103">
        <f>MIN(H15,(MAX(0,H20)))</f>
        <v>10000000</v>
      </c>
      <c r="I22" s="103">
        <f>MIN(I15,F12)</f>
        <v>8000000</v>
      </c>
    </row>
    <row r="23" spans="2:10" ht="15" x14ac:dyDescent="0.25">
      <c r="F23" s="100"/>
      <c r="G23" s="108"/>
    </row>
    <row r="24" spans="2:10" ht="15.75" thickBot="1" x14ac:dyDescent="0.3">
      <c r="B24" s="217" t="s">
        <v>137</v>
      </c>
      <c r="C24" s="217" t="s">
        <v>270</v>
      </c>
      <c r="D24" s="248" t="s">
        <v>245</v>
      </c>
      <c r="E24" s="146" t="str">
        <f t="shared" ref="E24:E29" si="3">IF($A$1=1,B24,C24)</f>
        <v>Oneri finanziari</v>
      </c>
      <c r="F24" s="204" t="s">
        <v>47</v>
      </c>
      <c r="G24" s="204" t="s">
        <v>48</v>
      </c>
      <c r="H24" s="204" t="s">
        <v>49</v>
      </c>
      <c r="I24" s="135" t="str">
        <f>IF($A$1=1,"B (IVA)","B (VAT)")</f>
        <v>B (IVA)</v>
      </c>
    </row>
    <row r="25" spans="2:10" ht="15.75" thickTop="1" x14ac:dyDescent="0.25">
      <c r="B25" s="191" t="s">
        <v>134</v>
      </c>
      <c r="C25" s="191" t="s">
        <v>271</v>
      </c>
      <c r="D25" s="248"/>
      <c r="E25" s="99" t="str">
        <f t="shared" si="3"/>
        <v>Euribor 3 M (ipotesi massimo)</v>
      </c>
      <c r="F25" s="193">
        <v>2.5000000000000001E-2</v>
      </c>
      <c r="G25" s="108">
        <f>F25</f>
        <v>2.5000000000000001E-2</v>
      </c>
      <c r="H25" s="108">
        <f>G25</f>
        <v>2.5000000000000001E-2</v>
      </c>
      <c r="I25" s="108">
        <f>H25</f>
        <v>2.5000000000000001E-2</v>
      </c>
    </row>
    <row r="26" spans="2:10" ht="15" x14ac:dyDescent="0.25">
      <c r="B26" s="191" t="s">
        <v>25</v>
      </c>
      <c r="C26" s="191" t="s">
        <v>194</v>
      </c>
      <c r="D26" s="248"/>
      <c r="E26" s="99" t="str">
        <f t="shared" si="3"/>
        <v xml:space="preserve">Margine </v>
      </c>
      <c r="F26" s="193">
        <v>0.02</v>
      </c>
      <c r="G26" s="193">
        <v>2.5000000000000001E-2</v>
      </c>
      <c r="H26" s="193">
        <v>0.03</v>
      </c>
      <c r="I26" s="193">
        <v>0.02</v>
      </c>
    </row>
    <row r="27" spans="2:10" ht="15" x14ac:dyDescent="0.25">
      <c r="B27" s="191" t="s">
        <v>135</v>
      </c>
      <c r="C27" s="191" t="s">
        <v>272</v>
      </c>
      <c r="D27" s="248"/>
      <c r="E27" s="99" t="str">
        <f t="shared" si="3"/>
        <v>Tasso annuale</v>
      </c>
      <c r="F27" s="141">
        <f>$F$25+F26</f>
        <v>4.4999999999999998E-2</v>
      </c>
      <c r="G27" s="141">
        <f>$F$25+G26</f>
        <v>0.05</v>
      </c>
      <c r="H27" s="141">
        <f>$F$25+H26</f>
        <v>5.5E-2</v>
      </c>
      <c r="I27" s="141">
        <f>$F$25+I26</f>
        <v>4.4999999999999998E-2</v>
      </c>
    </row>
    <row r="28" spans="2:10" ht="15" x14ac:dyDescent="0.25">
      <c r="B28" s="191" t="s">
        <v>138</v>
      </c>
      <c r="C28" s="191" t="s">
        <v>273</v>
      </c>
      <c r="D28" s="248"/>
      <c r="E28" s="99" t="str">
        <f t="shared" si="3"/>
        <v>Tasso trimestrale</v>
      </c>
      <c r="F28" s="141">
        <f>F27/4</f>
        <v>1.125E-2</v>
      </c>
      <c r="G28" s="141">
        <f t="shared" ref="G28:I28" si="4">G27/4</f>
        <v>1.2500000000000001E-2</v>
      </c>
      <c r="H28" s="141">
        <f t="shared" si="4"/>
        <v>1.375E-2</v>
      </c>
      <c r="I28" s="141">
        <f t="shared" si="4"/>
        <v>1.125E-2</v>
      </c>
    </row>
    <row r="29" spans="2:10" ht="15" x14ac:dyDescent="0.25">
      <c r="B29" s="191" t="s">
        <v>394</v>
      </c>
      <c r="C29" s="191" t="s">
        <v>274</v>
      </c>
      <c r="D29" s="248"/>
      <c r="E29" s="99" t="str">
        <f t="shared" si="3"/>
        <v>Interessi annuali (importo iniziale)</v>
      </c>
      <c r="F29" s="100">
        <f>F27*F22</f>
        <v>450000</v>
      </c>
      <c r="G29" s="100">
        <f>G27*G22</f>
        <v>500000</v>
      </c>
      <c r="H29" s="100">
        <f>H27*H22</f>
        <v>550000</v>
      </c>
      <c r="I29" s="100">
        <f>I27*I22</f>
        <v>360000</v>
      </c>
      <c r="J29" s="107"/>
    </row>
    <row r="30" spans="2:10" ht="15" x14ac:dyDescent="0.25">
      <c r="D30" s="248"/>
      <c r="F30" s="100"/>
      <c r="G30" s="100"/>
    </row>
    <row r="31" spans="2:10" ht="15.75" thickBot="1" x14ac:dyDescent="0.3">
      <c r="B31" s="217" t="s">
        <v>127</v>
      </c>
      <c r="C31" s="217" t="s">
        <v>275</v>
      </c>
      <c r="D31" s="248"/>
      <c r="E31" s="146" t="str">
        <f>IF($A$1=1,B31,C31)</f>
        <v>Commissioni e spese</v>
      </c>
      <c r="F31" s="167"/>
      <c r="G31" s="137"/>
      <c r="H31" s="168"/>
      <c r="I31" s="168"/>
    </row>
    <row r="32" spans="2:10" ht="15.75" thickTop="1" x14ac:dyDescent="0.25">
      <c r="B32" s="191" t="s">
        <v>14</v>
      </c>
      <c r="C32" s="191" t="s">
        <v>14</v>
      </c>
      <c r="D32" s="248"/>
      <c r="E32" s="99" t="str">
        <f>IF($A$1=1,B32,C32)</f>
        <v>Arrangement Fee</v>
      </c>
      <c r="F32" s="193">
        <v>1.2E-2</v>
      </c>
      <c r="G32" s="100"/>
      <c r="H32" s="98"/>
    </row>
    <row r="33" spans="2:19" ht="15" x14ac:dyDescent="0.25">
      <c r="B33" s="219" t="s">
        <v>63</v>
      </c>
      <c r="C33" s="219" t="s">
        <v>276</v>
      </c>
      <c r="D33" s="248"/>
      <c r="E33" s="142" t="str">
        <f>IF($A$1=1,B33,C33)</f>
        <v>Commissioni di gestione annuale</v>
      </c>
      <c r="F33" s="194">
        <v>30000</v>
      </c>
      <c r="G33" s="104"/>
      <c r="H33" s="104"/>
      <c r="I33" s="104"/>
    </row>
    <row r="34" spans="2:19" ht="15" x14ac:dyDescent="0.25">
      <c r="B34" s="191" t="s">
        <v>125</v>
      </c>
      <c r="C34" s="191" t="s">
        <v>277</v>
      </c>
      <c r="D34" s="248"/>
      <c r="E34" s="99" t="str">
        <f>IF($A$1=1,B34,C34)</f>
        <v>Imposta sostitutiva</v>
      </c>
      <c r="F34" s="193">
        <v>2.5000000000000001E-3</v>
      </c>
      <c r="G34" s="104"/>
      <c r="H34" s="104"/>
      <c r="I34" s="104"/>
    </row>
    <row r="35" spans="2:19" ht="15" x14ac:dyDescent="0.25">
      <c r="B35" s="142"/>
      <c r="C35" s="142"/>
      <c r="D35" s="248"/>
      <c r="E35" s="142"/>
      <c r="G35" s="104"/>
      <c r="H35" s="104"/>
      <c r="I35" s="104"/>
    </row>
    <row r="36" spans="2:19" ht="15.75" thickBot="1" x14ac:dyDescent="0.3">
      <c r="B36" s="217" t="s">
        <v>66</v>
      </c>
      <c r="C36" s="217" t="s">
        <v>278</v>
      </c>
      <c r="D36" s="248"/>
      <c r="E36" s="146" t="str">
        <f>IF($A$1=1,B36,C36)</f>
        <v>Test Totale Linea A</v>
      </c>
      <c r="F36" s="166" t="str">
        <f>IF($A$1=1,"Debito","Debt")</f>
        <v>Debito</v>
      </c>
      <c r="G36" s="166" t="str">
        <f>IF($A$1=1,"Valore","Value")</f>
        <v>Valore</v>
      </c>
      <c r="H36" s="166" t="str">
        <f>IF($A$1=1,"Flusso Operativo","Cash Flow")</f>
        <v>Flusso Operativo</v>
      </c>
      <c r="I36" s="166" t="str">
        <f>IF($A$1=1,"OF","Interest P.")</f>
        <v>OF</v>
      </c>
      <c r="J36" s="204" t="s">
        <v>93</v>
      </c>
      <c r="K36" s="204" t="s">
        <v>15</v>
      </c>
      <c r="L36" s="204" t="s">
        <v>121</v>
      </c>
    </row>
    <row r="37" spans="2:19" ht="15.75" thickTop="1" x14ac:dyDescent="0.25">
      <c r="B37" s="191" t="s">
        <v>62</v>
      </c>
      <c r="C37" s="191" t="s">
        <v>62</v>
      </c>
      <c r="D37" s="248"/>
      <c r="E37" s="99" t="str">
        <f>IF($A$1=1,B37,C37)</f>
        <v>LTV Test</v>
      </c>
      <c r="F37" s="100">
        <f>SUM(F22:H22)</f>
        <v>30000000</v>
      </c>
      <c r="G37" s="100">
        <f>G11</f>
        <v>46290000</v>
      </c>
      <c r="J37" s="108">
        <f>F37/G37</f>
        <v>0.64808813998703829</v>
      </c>
      <c r="K37" s="193">
        <v>0.7</v>
      </c>
      <c r="L37" s="100" t="str">
        <f>IF(K37&gt;=J37,"OK","NO")</f>
        <v>OK</v>
      </c>
    </row>
    <row r="38" spans="2:19" ht="15" x14ac:dyDescent="0.25">
      <c r="B38" s="191" t="s">
        <v>64</v>
      </c>
      <c r="C38" s="191" t="s">
        <v>64</v>
      </c>
      <c r="D38" s="248"/>
      <c r="E38" s="99" t="str">
        <f>IF($A$1=1,B38,C38)</f>
        <v>ICR Test</v>
      </c>
      <c r="F38" s="108"/>
      <c r="G38" s="108"/>
      <c r="H38" s="100">
        <f>H11</f>
        <v>2777400</v>
      </c>
      <c r="I38" s="100">
        <f>SUM(F29:H29)</f>
        <v>1500000</v>
      </c>
      <c r="J38" s="108">
        <f>H38/I38</f>
        <v>1.8515999999999999</v>
      </c>
      <c r="K38" s="193">
        <v>1.5</v>
      </c>
      <c r="L38" s="100" t="str">
        <f>IF(K38&lt;=J38,"OK","NO")</f>
        <v>OK</v>
      </c>
    </row>
    <row r="39" spans="2:19" ht="15" x14ac:dyDescent="0.25">
      <c r="F39" s="108"/>
      <c r="G39" s="108"/>
      <c r="H39" s="108"/>
      <c r="I39" s="108"/>
    </row>
    <row r="40" spans="2:19" ht="15.75" thickBot="1" x14ac:dyDescent="0.3">
      <c r="B40" s="217" t="s">
        <v>180</v>
      </c>
      <c r="C40" s="217" t="s">
        <v>279</v>
      </c>
      <c r="D40" s="248" t="s">
        <v>246</v>
      </c>
      <c r="E40" s="146" t="str">
        <f t="shared" ref="E40:E52" si="5">IF($A$1=1,B40,C40)</f>
        <v>IPOTESI DISMISSIONE</v>
      </c>
      <c r="F40" s="204">
        <v>0</v>
      </c>
      <c r="G40" s="204">
        <v>1</v>
      </c>
      <c r="H40" s="204">
        <v>2</v>
      </c>
      <c r="I40" s="204">
        <v>3</v>
      </c>
      <c r="J40" s="204">
        <v>4</v>
      </c>
      <c r="K40" s="204">
        <v>5</v>
      </c>
      <c r="L40" s="204">
        <v>6</v>
      </c>
      <c r="M40" s="204">
        <v>7</v>
      </c>
      <c r="N40" s="204">
        <v>8</v>
      </c>
      <c r="O40" s="204">
        <v>9</v>
      </c>
      <c r="P40" s="204">
        <v>10</v>
      </c>
      <c r="Q40" s="204">
        <v>11</v>
      </c>
      <c r="R40" s="204">
        <v>12</v>
      </c>
    </row>
    <row r="41" spans="2:19" ht="15.75" thickTop="1" x14ac:dyDescent="0.25">
      <c r="B41" s="220" t="s">
        <v>97</v>
      </c>
      <c r="C41" s="220" t="s">
        <v>281</v>
      </c>
      <c r="D41" s="248"/>
      <c r="E41" s="147" t="str">
        <f t="shared" si="5"/>
        <v>Pagamento Acquisizione %</v>
      </c>
      <c r="F41" s="222">
        <v>0.2</v>
      </c>
      <c r="G41" s="149">
        <f>1-F41</f>
        <v>0.8</v>
      </c>
      <c r="H41" s="148"/>
      <c r="I41" s="148"/>
      <c r="J41" s="150"/>
      <c r="K41" s="150"/>
      <c r="L41" s="150"/>
      <c r="M41" s="150"/>
      <c r="N41" s="150"/>
      <c r="O41" s="150"/>
      <c r="P41" s="150"/>
      <c r="Q41" s="150"/>
      <c r="R41" s="149"/>
    </row>
    <row r="42" spans="2:19" ht="15" x14ac:dyDescent="0.25">
      <c r="B42" s="191" t="s">
        <v>55</v>
      </c>
      <c r="C42" s="191" t="s">
        <v>255</v>
      </c>
      <c r="D42" s="248"/>
      <c r="E42" s="99" t="str">
        <f t="shared" si="5"/>
        <v>Immobile 1</v>
      </c>
      <c r="F42" s="221">
        <v>1</v>
      </c>
      <c r="G42" s="169">
        <f>F42</f>
        <v>1</v>
      </c>
      <c r="H42" s="169">
        <f>G42</f>
        <v>1</v>
      </c>
      <c r="I42" s="169">
        <f t="shared" ref="I42:R42" si="6">H42</f>
        <v>1</v>
      </c>
      <c r="J42" s="221">
        <v>0</v>
      </c>
      <c r="K42" s="169">
        <f t="shared" si="6"/>
        <v>0</v>
      </c>
      <c r="L42" s="169">
        <f t="shared" si="6"/>
        <v>0</v>
      </c>
      <c r="M42" s="169">
        <f t="shared" si="6"/>
        <v>0</v>
      </c>
      <c r="N42" s="169">
        <f t="shared" si="6"/>
        <v>0</v>
      </c>
      <c r="O42" s="169">
        <f t="shared" si="6"/>
        <v>0</v>
      </c>
      <c r="P42" s="169">
        <f t="shared" si="6"/>
        <v>0</v>
      </c>
      <c r="Q42" s="169">
        <f t="shared" si="6"/>
        <v>0</v>
      </c>
      <c r="R42" s="169">
        <f t="shared" si="6"/>
        <v>0</v>
      </c>
      <c r="S42" s="115"/>
    </row>
    <row r="43" spans="2:19" ht="15" x14ac:dyDescent="0.25">
      <c r="B43" s="191" t="s">
        <v>56</v>
      </c>
      <c r="C43" s="191" t="s">
        <v>256</v>
      </c>
      <c r="D43" s="248"/>
      <c r="E43" s="99" t="str">
        <f t="shared" si="5"/>
        <v>Immobile 2</v>
      </c>
      <c r="F43" s="221">
        <v>1</v>
      </c>
      <c r="G43" s="169">
        <f>F43</f>
        <v>1</v>
      </c>
      <c r="H43" s="169">
        <f t="shared" ref="H43:R46" si="7">G43</f>
        <v>1</v>
      </c>
      <c r="I43" s="169">
        <f t="shared" si="7"/>
        <v>1</v>
      </c>
      <c r="J43" s="169">
        <f t="shared" si="7"/>
        <v>1</v>
      </c>
      <c r="K43" s="169">
        <f t="shared" si="7"/>
        <v>1</v>
      </c>
      <c r="L43" s="221">
        <v>0</v>
      </c>
      <c r="M43" s="169">
        <f t="shared" si="7"/>
        <v>0</v>
      </c>
      <c r="N43" s="169">
        <f t="shared" si="7"/>
        <v>0</v>
      </c>
      <c r="O43" s="169">
        <f t="shared" si="7"/>
        <v>0</v>
      </c>
      <c r="P43" s="169">
        <f t="shared" si="7"/>
        <v>0</v>
      </c>
      <c r="Q43" s="169">
        <f t="shared" si="7"/>
        <v>0</v>
      </c>
      <c r="R43" s="169">
        <f t="shared" si="7"/>
        <v>0</v>
      </c>
      <c r="S43" s="115"/>
    </row>
    <row r="44" spans="2:19" ht="15" x14ac:dyDescent="0.25">
      <c r="B44" s="191" t="s">
        <v>57</v>
      </c>
      <c r="C44" s="191" t="s">
        <v>257</v>
      </c>
      <c r="D44" s="248"/>
      <c r="E44" s="99" t="str">
        <f t="shared" si="5"/>
        <v>Immobile 3</v>
      </c>
      <c r="F44" s="221">
        <v>1</v>
      </c>
      <c r="G44" s="169">
        <f>F44</f>
        <v>1</v>
      </c>
      <c r="H44" s="169">
        <f t="shared" si="7"/>
        <v>1</v>
      </c>
      <c r="I44" s="169">
        <f t="shared" si="7"/>
        <v>1</v>
      </c>
      <c r="J44" s="169">
        <f t="shared" si="7"/>
        <v>1</v>
      </c>
      <c r="K44" s="169">
        <f t="shared" si="7"/>
        <v>1</v>
      </c>
      <c r="L44" s="169">
        <f t="shared" si="7"/>
        <v>1</v>
      </c>
      <c r="M44" s="221">
        <v>0</v>
      </c>
      <c r="N44" s="169">
        <f t="shared" si="7"/>
        <v>0</v>
      </c>
      <c r="O44" s="169">
        <f t="shared" si="7"/>
        <v>0</v>
      </c>
      <c r="P44" s="169">
        <f t="shared" si="7"/>
        <v>0</v>
      </c>
      <c r="Q44" s="169">
        <f t="shared" si="7"/>
        <v>0</v>
      </c>
      <c r="R44" s="169">
        <f t="shared" si="7"/>
        <v>0</v>
      </c>
      <c r="S44" s="115"/>
    </row>
    <row r="45" spans="2:19" ht="15" x14ac:dyDescent="0.25">
      <c r="B45" s="191" t="s">
        <v>58</v>
      </c>
      <c r="C45" s="191" t="s">
        <v>258</v>
      </c>
      <c r="D45" s="248"/>
      <c r="E45" s="99" t="str">
        <f t="shared" si="5"/>
        <v>Immobile 4</v>
      </c>
      <c r="F45" s="221">
        <v>1</v>
      </c>
      <c r="G45" s="169">
        <f>F45</f>
        <v>1</v>
      </c>
      <c r="H45" s="169">
        <f t="shared" si="7"/>
        <v>1</v>
      </c>
      <c r="I45" s="169">
        <f t="shared" si="7"/>
        <v>1</v>
      </c>
      <c r="J45" s="169">
        <f t="shared" si="7"/>
        <v>1</v>
      </c>
      <c r="K45" s="169">
        <f t="shared" si="7"/>
        <v>1</v>
      </c>
      <c r="L45" s="169">
        <f t="shared" si="7"/>
        <v>1</v>
      </c>
      <c r="M45" s="169">
        <f t="shared" si="7"/>
        <v>1</v>
      </c>
      <c r="N45" s="221">
        <v>0</v>
      </c>
      <c r="O45" s="169">
        <f t="shared" si="7"/>
        <v>0</v>
      </c>
      <c r="P45" s="169">
        <f t="shared" si="7"/>
        <v>0</v>
      </c>
      <c r="Q45" s="169">
        <f t="shared" si="7"/>
        <v>0</v>
      </c>
      <c r="R45" s="169">
        <f t="shared" si="7"/>
        <v>0</v>
      </c>
      <c r="S45" s="115"/>
    </row>
    <row r="46" spans="2:19" ht="15" x14ac:dyDescent="0.25">
      <c r="B46" s="215" t="s">
        <v>59</v>
      </c>
      <c r="C46" s="215" t="s">
        <v>259</v>
      </c>
      <c r="D46" s="248"/>
      <c r="E46" s="144" t="str">
        <f t="shared" si="5"/>
        <v>Immobile 5</v>
      </c>
      <c r="F46" s="223">
        <v>1</v>
      </c>
      <c r="G46" s="170">
        <f>F46</f>
        <v>1</v>
      </c>
      <c r="H46" s="170">
        <f t="shared" si="7"/>
        <v>1</v>
      </c>
      <c r="I46" s="170">
        <f t="shared" si="7"/>
        <v>1</v>
      </c>
      <c r="J46" s="170">
        <f t="shared" si="7"/>
        <v>1</v>
      </c>
      <c r="K46" s="170">
        <f t="shared" si="7"/>
        <v>1</v>
      </c>
      <c r="L46" s="170">
        <f t="shared" si="7"/>
        <v>1</v>
      </c>
      <c r="M46" s="170">
        <f t="shared" si="7"/>
        <v>1</v>
      </c>
      <c r="N46" s="170">
        <f t="shared" si="7"/>
        <v>1</v>
      </c>
      <c r="O46" s="170">
        <f t="shared" si="7"/>
        <v>1</v>
      </c>
      <c r="P46" s="223">
        <v>0</v>
      </c>
      <c r="Q46" s="170">
        <f t="shared" si="7"/>
        <v>0</v>
      </c>
      <c r="R46" s="170">
        <f t="shared" si="7"/>
        <v>0</v>
      </c>
      <c r="S46" s="115"/>
    </row>
    <row r="47" spans="2:19" ht="15" x14ac:dyDescent="0.25">
      <c r="B47" s="191" t="s">
        <v>55</v>
      </c>
      <c r="C47" s="191" t="s">
        <v>255</v>
      </c>
      <c r="D47" s="248"/>
      <c r="E47" s="99" t="str">
        <f t="shared" si="5"/>
        <v>Immobile 1</v>
      </c>
      <c r="F47" s="100">
        <f>$G6</f>
        <v>5950000</v>
      </c>
      <c r="G47" s="100">
        <f>F47*G42</f>
        <v>5950000</v>
      </c>
      <c r="H47" s="100">
        <f>G47*H42</f>
        <v>5950000</v>
      </c>
      <c r="I47" s="100">
        <f t="shared" ref="I47:R47" si="8">H47*I42</f>
        <v>5950000</v>
      </c>
      <c r="J47" s="100">
        <f t="shared" si="8"/>
        <v>0</v>
      </c>
      <c r="K47" s="100">
        <f t="shared" si="8"/>
        <v>0</v>
      </c>
      <c r="L47" s="100">
        <f t="shared" si="8"/>
        <v>0</v>
      </c>
      <c r="M47" s="100">
        <f t="shared" si="8"/>
        <v>0</v>
      </c>
      <c r="N47" s="100">
        <f t="shared" si="8"/>
        <v>0</v>
      </c>
      <c r="O47" s="100">
        <f t="shared" si="8"/>
        <v>0</v>
      </c>
      <c r="P47" s="100">
        <f t="shared" si="8"/>
        <v>0</v>
      </c>
      <c r="Q47" s="100">
        <f t="shared" si="8"/>
        <v>0</v>
      </c>
      <c r="R47" s="100">
        <f t="shared" si="8"/>
        <v>0</v>
      </c>
      <c r="S47" s="115"/>
    </row>
    <row r="48" spans="2:19" ht="15" x14ac:dyDescent="0.25">
      <c r="B48" s="191" t="s">
        <v>56</v>
      </c>
      <c r="C48" s="191" t="s">
        <v>256</v>
      </c>
      <c r="D48" s="248"/>
      <c r="E48" s="99" t="str">
        <f t="shared" si="5"/>
        <v>Immobile 2</v>
      </c>
      <c r="F48" s="100">
        <f>$G7</f>
        <v>8940000</v>
      </c>
      <c r="G48" s="100">
        <f t="shared" ref="G48:R48" si="9">F48*G43</f>
        <v>8940000</v>
      </c>
      <c r="H48" s="100">
        <f t="shared" si="9"/>
        <v>8940000</v>
      </c>
      <c r="I48" s="100">
        <f t="shared" si="9"/>
        <v>8940000</v>
      </c>
      <c r="J48" s="100">
        <f t="shared" si="9"/>
        <v>8940000</v>
      </c>
      <c r="K48" s="100">
        <f t="shared" si="9"/>
        <v>8940000</v>
      </c>
      <c r="L48" s="100">
        <f t="shared" si="9"/>
        <v>0</v>
      </c>
      <c r="M48" s="100">
        <f t="shared" si="9"/>
        <v>0</v>
      </c>
      <c r="N48" s="100">
        <f t="shared" si="9"/>
        <v>0</v>
      </c>
      <c r="O48" s="100">
        <f t="shared" si="9"/>
        <v>0</v>
      </c>
      <c r="P48" s="100">
        <f t="shared" si="9"/>
        <v>0</v>
      </c>
      <c r="Q48" s="100">
        <f t="shared" si="9"/>
        <v>0</v>
      </c>
      <c r="R48" s="100">
        <f t="shared" si="9"/>
        <v>0</v>
      </c>
      <c r="S48" s="115"/>
    </row>
    <row r="49" spans="2:21" ht="15" x14ac:dyDescent="0.25">
      <c r="B49" s="191" t="s">
        <v>57</v>
      </c>
      <c r="C49" s="191" t="s">
        <v>257</v>
      </c>
      <c r="D49" s="248"/>
      <c r="E49" s="99" t="str">
        <f t="shared" si="5"/>
        <v>Immobile 3</v>
      </c>
      <c r="F49" s="100">
        <f>$G8</f>
        <v>3700000</v>
      </c>
      <c r="G49" s="100">
        <f t="shared" ref="G49:R49" si="10">F49*G44</f>
        <v>3700000</v>
      </c>
      <c r="H49" s="100">
        <f t="shared" si="10"/>
        <v>3700000</v>
      </c>
      <c r="I49" s="100">
        <f t="shared" si="10"/>
        <v>3700000</v>
      </c>
      <c r="J49" s="100">
        <f t="shared" si="10"/>
        <v>3700000</v>
      </c>
      <c r="K49" s="100">
        <f t="shared" si="10"/>
        <v>3700000</v>
      </c>
      <c r="L49" s="100">
        <f t="shared" si="10"/>
        <v>3700000</v>
      </c>
      <c r="M49" s="100">
        <f t="shared" si="10"/>
        <v>0</v>
      </c>
      <c r="N49" s="100">
        <f t="shared" si="10"/>
        <v>0</v>
      </c>
      <c r="O49" s="100">
        <f t="shared" si="10"/>
        <v>0</v>
      </c>
      <c r="P49" s="100">
        <f t="shared" si="10"/>
        <v>0</v>
      </c>
      <c r="Q49" s="100">
        <f t="shared" si="10"/>
        <v>0</v>
      </c>
      <c r="R49" s="100">
        <f t="shared" si="10"/>
        <v>0</v>
      </c>
      <c r="S49" s="115"/>
    </row>
    <row r="50" spans="2:21" ht="15" x14ac:dyDescent="0.25">
      <c r="B50" s="191" t="s">
        <v>58</v>
      </c>
      <c r="C50" s="191" t="s">
        <v>258</v>
      </c>
      <c r="D50" s="248"/>
      <c r="E50" s="99" t="str">
        <f t="shared" si="5"/>
        <v>Immobile 4</v>
      </c>
      <c r="F50" s="100">
        <f>$G9</f>
        <v>17800000</v>
      </c>
      <c r="G50" s="100">
        <f t="shared" ref="G50:R50" si="11">F50*G45</f>
        <v>17800000</v>
      </c>
      <c r="H50" s="100">
        <f t="shared" si="11"/>
        <v>17800000</v>
      </c>
      <c r="I50" s="100">
        <f t="shared" si="11"/>
        <v>17800000</v>
      </c>
      <c r="J50" s="100">
        <f t="shared" si="11"/>
        <v>17800000</v>
      </c>
      <c r="K50" s="100">
        <f t="shared" si="11"/>
        <v>17800000</v>
      </c>
      <c r="L50" s="100">
        <f t="shared" si="11"/>
        <v>17800000</v>
      </c>
      <c r="M50" s="100">
        <f t="shared" si="11"/>
        <v>17800000</v>
      </c>
      <c r="N50" s="100">
        <f t="shared" si="11"/>
        <v>0</v>
      </c>
      <c r="O50" s="100">
        <f t="shared" si="11"/>
        <v>0</v>
      </c>
      <c r="P50" s="100">
        <f t="shared" si="11"/>
        <v>0</v>
      </c>
      <c r="Q50" s="100">
        <f t="shared" si="11"/>
        <v>0</v>
      </c>
      <c r="R50" s="100">
        <f t="shared" si="11"/>
        <v>0</v>
      </c>
      <c r="S50" s="115"/>
    </row>
    <row r="51" spans="2:21" ht="15" x14ac:dyDescent="0.25">
      <c r="B51" s="215" t="s">
        <v>59</v>
      </c>
      <c r="C51" s="215" t="s">
        <v>259</v>
      </c>
      <c r="D51" s="248"/>
      <c r="E51" s="144" t="str">
        <f t="shared" si="5"/>
        <v>Immobile 5</v>
      </c>
      <c r="F51" s="126">
        <f>$G10</f>
        <v>9900000</v>
      </c>
      <c r="G51" s="126">
        <f t="shared" ref="G51:R51" si="12">F51*G46</f>
        <v>9900000</v>
      </c>
      <c r="H51" s="126">
        <f t="shared" si="12"/>
        <v>9900000</v>
      </c>
      <c r="I51" s="126">
        <f t="shared" si="12"/>
        <v>9900000</v>
      </c>
      <c r="J51" s="126">
        <f t="shared" si="12"/>
        <v>9900000</v>
      </c>
      <c r="K51" s="126">
        <f t="shared" si="12"/>
        <v>9900000</v>
      </c>
      <c r="L51" s="126">
        <f t="shared" si="12"/>
        <v>9900000</v>
      </c>
      <c r="M51" s="126">
        <f t="shared" si="12"/>
        <v>9900000</v>
      </c>
      <c r="N51" s="126">
        <f t="shared" si="12"/>
        <v>9900000</v>
      </c>
      <c r="O51" s="126">
        <f t="shared" si="12"/>
        <v>9900000</v>
      </c>
      <c r="P51" s="126">
        <f t="shared" si="12"/>
        <v>0</v>
      </c>
      <c r="Q51" s="126">
        <f t="shared" si="12"/>
        <v>0</v>
      </c>
      <c r="R51" s="126">
        <f t="shared" si="12"/>
        <v>0</v>
      </c>
      <c r="S51" s="115"/>
    </row>
    <row r="52" spans="2:21" ht="15" x14ac:dyDescent="0.25">
      <c r="B52" s="196" t="s">
        <v>172</v>
      </c>
      <c r="C52" s="196" t="s">
        <v>280</v>
      </c>
      <c r="D52" s="248"/>
      <c r="E52" s="102" t="str">
        <f t="shared" si="5"/>
        <v>Valore Portafoglio Finale</v>
      </c>
      <c r="F52" s="103">
        <f>SUM(F47:F51)</f>
        <v>46290000</v>
      </c>
      <c r="G52" s="103">
        <f>SUM(G47:G51)</f>
        <v>46290000</v>
      </c>
      <c r="H52" s="103">
        <f t="shared" ref="H52:R52" si="13">SUM(H47:H51)</f>
        <v>46290000</v>
      </c>
      <c r="I52" s="103">
        <f t="shared" si="13"/>
        <v>46290000</v>
      </c>
      <c r="J52" s="103">
        <f t="shared" si="13"/>
        <v>40340000</v>
      </c>
      <c r="K52" s="103">
        <f t="shared" si="13"/>
        <v>40340000</v>
      </c>
      <c r="L52" s="103">
        <f t="shared" si="13"/>
        <v>31400000</v>
      </c>
      <c r="M52" s="103">
        <f t="shared" si="13"/>
        <v>27700000</v>
      </c>
      <c r="N52" s="103">
        <f t="shared" si="13"/>
        <v>9900000</v>
      </c>
      <c r="O52" s="103">
        <f t="shared" si="13"/>
        <v>9900000</v>
      </c>
      <c r="P52" s="103">
        <f t="shared" si="13"/>
        <v>0</v>
      </c>
      <c r="Q52" s="103">
        <f t="shared" si="13"/>
        <v>0</v>
      </c>
      <c r="R52" s="103">
        <f t="shared" si="13"/>
        <v>0</v>
      </c>
      <c r="S52" s="115"/>
    </row>
    <row r="53" spans="2:21" ht="15" x14ac:dyDescent="0.25">
      <c r="F53" s="100"/>
      <c r="G53" s="100"/>
      <c r="S53" s="115"/>
    </row>
    <row r="54" spans="2:21" ht="15.75" thickBot="1" x14ac:dyDescent="0.3">
      <c r="B54" s="197" t="s">
        <v>94</v>
      </c>
      <c r="C54" s="197" t="s">
        <v>94</v>
      </c>
      <c r="D54" s="248" t="s">
        <v>247</v>
      </c>
      <c r="E54" s="131" t="str">
        <f t="shared" ref="E54:E67" si="14">IF($A$1=1,B54,C54)</f>
        <v>CASH FLOW</v>
      </c>
      <c r="F54" s="204">
        <v>0</v>
      </c>
      <c r="G54" s="204">
        <v>1</v>
      </c>
      <c r="H54" s="204">
        <v>2</v>
      </c>
      <c r="I54" s="204">
        <v>3</v>
      </c>
      <c r="J54" s="204">
        <v>4</v>
      </c>
      <c r="K54" s="204">
        <v>5</v>
      </c>
      <c r="L54" s="204">
        <v>6</v>
      </c>
      <c r="M54" s="204">
        <v>7</v>
      </c>
      <c r="N54" s="204">
        <v>8</v>
      </c>
      <c r="O54" s="204">
        <v>9</v>
      </c>
      <c r="P54" s="204">
        <v>10</v>
      </c>
      <c r="Q54" s="204">
        <v>11</v>
      </c>
      <c r="R54" s="226">
        <v>12</v>
      </c>
      <c r="S54" s="204" t="s">
        <v>368</v>
      </c>
    </row>
    <row r="55" spans="2:21" ht="15.75" thickTop="1" x14ac:dyDescent="0.25">
      <c r="B55" s="224" t="s">
        <v>69</v>
      </c>
      <c r="C55" s="224" t="s">
        <v>260</v>
      </c>
      <c r="D55" s="248"/>
      <c r="E55" s="151" t="str">
        <f t="shared" si="14"/>
        <v xml:space="preserve">Acquisizione </v>
      </c>
      <c r="F55" s="152">
        <f>-$F$11*F41</f>
        <v>-7800000</v>
      </c>
      <c r="G55" s="152">
        <f t="shared" ref="G55:R55" si="15">-$F$11*G41</f>
        <v>-31200000</v>
      </c>
      <c r="H55" s="152">
        <f t="shared" si="15"/>
        <v>0</v>
      </c>
      <c r="I55" s="152">
        <f t="shared" si="15"/>
        <v>0</v>
      </c>
      <c r="J55" s="152">
        <f t="shared" si="15"/>
        <v>0</v>
      </c>
      <c r="K55" s="152">
        <f t="shared" si="15"/>
        <v>0</v>
      </c>
      <c r="L55" s="152">
        <f t="shared" si="15"/>
        <v>0</v>
      </c>
      <c r="M55" s="152">
        <f t="shared" si="15"/>
        <v>0</v>
      </c>
      <c r="N55" s="152">
        <f t="shared" si="15"/>
        <v>0</v>
      </c>
      <c r="O55" s="152">
        <f t="shared" si="15"/>
        <v>0</v>
      </c>
      <c r="P55" s="152">
        <f t="shared" si="15"/>
        <v>0</v>
      </c>
      <c r="Q55" s="152">
        <f t="shared" si="15"/>
        <v>0</v>
      </c>
      <c r="R55" s="158">
        <f t="shared" si="15"/>
        <v>0</v>
      </c>
      <c r="S55" s="153">
        <f t="shared" ref="S55:S60" si="16">SUM(F55:R55)</f>
        <v>-39000000</v>
      </c>
    </row>
    <row r="56" spans="2:21" ht="15" x14ac:dyDescent="0.25">
      <c r="B56" s="192" t="s">
        <v>77</v>
      </c>
      <c r="C56" s="192" t="s">
        <v>282</v>
      </c>
      <c r="D56" s="248"/>
      <c r="E56" s="114" t="str">
        <f t="shared" si="14"/>
        <v>Dismissione  Immobile 1</v>
      </c>
      <c r="F56" s="115"/>
      <c r="G56" s="115">
        <f>F47*(F42-G42)</f>
        <v>0</v>
      </c>
      <c r="H56" s="115">
        <f>G47*(G42-H42)</f>
        <v>0</v>
      </c>
      <c r="I56" s="115">
        <f>H47*(H42-I42)</f>
        <v>0</v>
      </c>
      <c r="J56" s="115">
        <f>I47*(I42-J42)</f>
        <v>5950000</v>
      </c>
      <c r="K56" s="115">
        <f>J47*(J42-K42)</f>
        <v>0</v>
      </c>
      <c r="L56" s="115">
        <f t="shared" ref="L56:R56" si="17">K47*(K42-L42)</f>
        <v>0</v>
      </c>
      <c r="M56" s="115">
        <f t="shared" si="17"/>
        <v>0</v>
      </c>
      <c r="N56" s="115">
        <f t="shared" si="17"/>
        <v>0</v>
      </c>
      <c r="O56" s="115">
        <f t="shared" si="17"/>
        <v>0</v>
      </c>
      <c r="P56" s="115">
        <f t="shared" si="17"/>
        <v>0</v>
      </c>
      <c r="Q56" s="115">
        <f t="shared" si="17"/>
        <v>0</v>
      </c>
      <c r="R56" s="159">
        <f t="shared" si="17"/>
        <v>0</v>
      </c>
      <c r="S56" s="115">
        <f t="shared" si="16"/>
        <v>5950000</v>
      </c>
    </row>
    <row r="57" spans="2:21" ht="15" x14ac:dyDescent="0.25">
      <c r="B57" s="192" t="s">
        <v>78</v>
      </c>
      <c r="C57" s="192" t="s">
        <v>283</v>
      </c>
      <c r="D57" s="248"/>
      <c r="E57" s="114" t="str">
        <f t="shared" si="14"/>
        <v>Dismissione  Immobile 2</v>
      </c>
      <c r="F57" s="115"/>
      <c r="G57" s="115">
        <f t="shared" ref="G57:R57" si="18">F48*(F43-G43)</f>
        <v>0</v>
      </c>
      <c r="H57" s="115">
        <f t="shared" si="18"/>
        <v>0</v>
      </c>
      <c r="I57" s="115">
        <f t="shared" si="18"/>
        <v>0</v>
      </c>
      <c r="J57" s="115">
        <f t="shared" si="18"/>
        <v>0</v>
      </c>
      <c r="K57" s="115">
        <f t="shared" si="18"/>
        <v>0</v>
      </c>
      <c r="L57" s="115">
        <f t="shared" si="18"/>
        <v>8940000</v>
      </c>
      <c r="M57" s="115">
        <f t="shared" si="18"/>
        <v>0</v>
      </c>
      <c r="N57" s="115">
        <f t="shared" si="18"/>
        <v>0</v>
      </c>
      <c r="O57" s="115">
        <f t="shared" si="18"/>
        <v>0</v>
      </c>
      <c r="P57" s="115">
        <f t="shared" si="18"/>
        <v>0</v>
      </c>
      <c r="Q57" s="115">
        <f t="shared" si="18"/>
        <v>0</v>
      </c>
      <c r="R57" s="159">
        <f t="shared" si="18"/>
        <v>0</v>
      </c>
      <c r="S57" s="115">
        <f t="shared" si="16"/>
        <v>8940000</v>
      </c>
    </row>
    <row r="58" spans="2:21" ht="15" x14ac:dyDescent="0.25">
      <c r="B58" s="192" t="s">
        <v>79</v>
      </c>
      <c r="C58" s="192" t="s">
        <v>284</v>
      </c>
      <c r="D58" s="248"/>
      <c r="E58" s="114" t="str">
        <f t="shared" si="14"/>
        <v>Dismissione  Immobile 3</v>
      </c>
      <c r="F58" s="115"/>
      <c r="G58" s="115">
        <f t="shared" ref="G58:R58" si="19">F49*(F44-G44)</f>
        <v>0</v>
      </c>
      <c r="H58" s="115">
        <f t="shared" si="19"/>
        <v>0</v>
      </c>
      <c r="I58" s="115">
        <f t="shared" si="19"/>
        <v>0</v>
      </c>
      <c r="J58" s="115">
        <f t="shared" si="19"/>
        <v>0</v>
      </c>
      <c r="K58" s="115">
        <f t="shared" si="19"/>
        <v>0</v>
      </c>
      <c r="L58" s="115">
        <f t="shared" si="19"/>
        <v>0</v>
      </c>
      <c r="M58" s="115">
        <f t="shared" si="19"/>
        <v>3700000</v>
      </c>
      <c r="N58" s="115">
        <f t="shared" si="19"/>
        <v>0</v>
      </c>
      <c r="O58" s="115">
        <f t="shared" si="19"/>
        <v>0</v>
      </c>
      <c r="P58" s="115">
        <f t="shared" si="19"/>
        <v>0</v>
      </c>
      <c r="Q58" s="115">
        <f t="shared" si="19"/>
        <v>0</v>
      </c>
      <c r="R58" s="159">
        <f t="shared" si="19"/>
        <v>0</v>
      </c>
      <c r="S58" s="115">
        <f t="shared" si="16"/>
        <v>3700000</v>
      </c>
    </row>
    <row r="59" spans="2:21" ht="15" x14ac:dyDescent="0.25">
      <c r="B59" s="192" t="s">
        <v>80</v>
      </c>
      <c r="C59" s="192" t="s">
        <v>285</v>
      </c>
      <c r="D59" s="248"/>
      <c r="E59" s="114" t="str">
        <f t="shared" si="14"/>
        <v>Dismissione  Immobile 4</v>
      </c>
      <c r="F59" s="115"/>
      <c r="G59" s="115">
        <f t="shared" ref="G59:R59" si="20">F50*(F45-G45)</f>
        <v>0</v>
      </c>
      <c r="H59" s="115">
        <f t="shared" si="20"/>
        <v>0</v>
      </c>
      <c r="I59" s="115">
        <f t="shared" si="20"/>
        <v>0</v>
      </c>
      <c r="J59" s="115">
        <f t="shared" si="20"/>
        <v>0</v>
      </c>
      <c r="K59" s="115">
        <f t="shared" si="20"/>
        <v>0</v>
      </c>
      <c r="L59" s="115">
        <f t="shared" si="20"/>
        <v>0</v>
      </c>
      <c r="M59" s="115">
        <f t="shared" si="20"/>
        <v>0</v>
      </c>
      <c r="N59" s="115">
        <f t="shared" si="20"/>
        <v>17800000</v>
      </c>
      <c r="O59" s="115">
        <f t="shared" si="20"/>
        <v>0</v>
      </c>
      <c r="P59" s="115">
        <f t="shared" si="20"/>
        <v>0</v>
      </c>
      <c r="Q59" s="115">
        <f t="shared" si="20"/>
        <v>0</v>
      </c>
      <c r="R59" s="159">
        <f t="shared" si="20"/>
        <v>0</v>
      </c>
      <c r="S59" s="115">
        <f t="shared" si="16"/>
        <v>17800000</v>
      </c>
    </row>
    <row r="60" spans="2:21" ht="15" x14ac:dyDescent="0.25">
      <c r="B60" s="206" t="s">
        <v>81</v>
      </c>
      <c r="C60" s="206" t="s">
        <v>286</v>
      </c>
      <c r="D60" s="248"/>
      <c r="E60" s="129" t="str">
        <f t="shared" si="14"/>
        <v>Dismissione  Immobile 5</v>
      </c>
      <c r="F60" s="130"/>
      <c r="G60" s="130">
        <f t="shared" ref="G60:R60" si="21">F51*(F46-G46)</f>
        <v>0</v>
      </c>
      <c r="H60" s="130">
        <f t="shared" si="21"/>
        <v>0</v>
      </c>
      <c r="I60" s="130">
        <f t="shared" si="21"/>
        <v>0</v>
      </c>
      <c r="J60" s="130">
        <f t="shared" si="21"/>
        <v>0</v>
      </c>
      <c r="K60" s="130">
        <f t="shared" si="21"/>
        <v>0</v>
      </c>
      <c r="L60" s="130">
        <f t="shared" si="21"/>
        <v>0</v>
      </c>
      <c r="M60" s="130">
        <f t="shared" si="21"/>
        <v>0</v>
      </c>
      <c r="N60" s="130">
        <f t="shared" si="21"/>
        <v>0</v>
      </c>
      <c r="O60" s="130">
        <f t="shared" si="21"/>
        <v>0</v>
      </c>
      <c r="P60" s="130">
        <f>O51*(O46-P46)</f>
        <v>9900000</v>
      </c>
      <c r="Q60" s="130">
        <f t="shared" si="21"/>
        <v>0</v>
      </c>
      <c r="R60" s="160">
        <f t="shared" si="21"/>
        <v>0</v>
      </c>
      <c r="S60" s="130">
        <f t="shared" si="16"/>
        <v>9900000</v>
      </c>
    </row>
    <row r="61" spans="2:21" s="102" customFormat="1" ht="15" x14ac:dyDescent="0.25">
      <c r="B61" s="225" t="s">
        <v>140</v>
      </c>
      <c r="C61" s="225" t="s">
        <v>310</v>
      </c>
      <c r="D61" s="248"/>
      <c r="E61" s="154" t="str">
        <f t="shared" si="14"/>
        <v>Flusso Investimento</v>
      </c>
      <c r="F61" s="155">
        <f>SUM(F55:F60)</f>
        <v>-7800000</v>
      </c>
      <c r="G61" s="155">
        <f t="shared" ref="G61:R61" si="22">SUM(G55:G60)</f>
        <v>-31200000</v>
      </c>
      <c r="H61" s="155">
        <f t="shared" si="22"/>
        <v>0</v>
      </c>
      <c r="I61" s="155">
        <f t="shared" si="22"/>
        <v>0</v>
      </c>
      <c r="J61" s="155">
        <f t="shared" si="22"/>
        <v>5950000</v>
      </c>
      <c r="K61" s="155">
        <f t="shared" si="22"/>
        <v>0</v>
      </c>
      <c r="L61" s="155">
        <f t="shared" si="22"/>
        <v>8940000</v>
      </c>
      <c r="M61" s="155">
        <f t="shared" si="22"/>
        <v>3700000</v>
      </c>
      <c r="N61" s="155">
        <f t="shared" si="22"/>
        <v>17800000</v>
      </c>
      <c r="O61" s="155">
        <f t="shared" si="22"/>
        <v>0</v>
      </c>
      <c r="P61" s="155">
        <f t="shared" si="22"/>
        <v>9900000</v>
      </c>
      <c r="Q61" s="155">
        <f t="shared" si="22"/>
        <v>0</v>
      </c>
      <c r="R61" s="161">
        <f t="shared" si="22"/>
        <v>0</v>
      </c>
      <c r="S61" s="156">
        <f t="shared" ref="S61:S67" si="23">SUM(F61:R61)</f>
        <v>7290000</v>
      </c>
      <c r="T61" s="103"/>
      <c r="U61" s="103"/>
    </row>
    <row r="62" spans="2:21" s="102" customFormat="1" ht="15" x14ac:dyDescent="0.25">
      <c r="B62" s="192" t="s">
        <v>82</v>
      </c>
      <c r="C62" s="192" t="s">
        <v>287</v>
      </c>
      <c r="D62" s="248"/>
      <c r="E62" s="114" t="str">
        <f t="shared" si="14"/>
        <v>Canone Immobile 1</v>
      </c>
      <c r="F62" s="103"/>
      <c r="G62" s="100">
        <f>G42*H6/4</f>
        <v>89250</v>
      </c>
      <c r="H62" s="100">
        <f t="shared" ref="H62:R62" si="24">G62*H42*(1+$I$12/4)</f>
        <v>89696.249999999985</v>
      </c>
      <c r="I62" s="100">
        <f t="shared" si="24"/>
        <v>90144.731249999983</v>
      </c>
      <c r="J62" s="100">
        <f t="shared" si="24"/>
        <v>0</v>
      </c>
      <c r="K62" s="100">
        <f t="shared" si="24"/>
        <v>0</v>
      </c>
      <c r="L62" s="100">
        <f t="shared" si="24"/>
        <v>0</v>
      </c>
      <c r="M62" s="100">
        <f t="shared" si="24"/>
        <v>0</v>
      </c>
      <c r="N62" s="100">
        <f t="shared" si="24"/>
        <v>0</v>
      </c>
      <c r="O62" s="100">
        <f t="shared" si="24"/>
        <v>0</v>
      </c>
      <c r="P62" s="100">
        <f t="shared" si="24"/>
        <v>0</v>
      </c>
      <c r="Q62" s="100">
        <f t="shared" si="24"/>
        <v>0</v>
      </c>
      <c r="R62" s="162">
        <f t="shared" si="24"/>
        <v>0</v>
      </c>
      <c r="S62" s="115">
        <f t="shared" si="23"/>
        <v>269090.98124999995</v>
      </c>
      <c r="T62" s="103"/>
      <c r="U62" s="103"/>
    </row>
    <row r="63" spans="2:21" s="102" customFormat="1" ht="15" x14ac:dyDescent="0.25">
      <c r="B63" s="192" t="s">
        <v>83</v>
      </c>
      <c r="C63" s="192" t="s">
        <v>288</v>
      </c>
      <c r="D63" s="248"/>
      <c r="E63" s="114" t="str">
        <f t="shared" si="14"/>
        <v>Canone Immobile 2</v>
      </c>
      <c r="F63" s="103"/>
      <c r="G63" s="100">
        <f>G43*H7/4</f>
        <v>134100</v>
      </c>
      <c r="H63" s="100">
        <f t="shared" ref="H63:R63" si="25">G63*H43*(1+$I$12/4)</f>
        <v>134770.5</v>
      </c>
      <c r="I63" s="100">
        <f t="shared" si="25"/>
        <v>135444.35249999998</v>
      </c>
      <c r="J63" s="100">
        <f t="shared" si="25"/>
        <v>136121.57426249995</v>
      </c>
      <c r="K63" s="100">
        <f t="shared" si="25"/>
        <v>136802.18213381243</v>
      </c>
      <c r="L63" s="100">
        <f t="shared" si="25"/>
        <v>0</v>
      </c>
      <c r="M63" s="100">
        <f t="shared" si="25"/>
        <v>0</v>
      </c>
      <c r="N63" s="100">
        <f t="shared" si="25"/>
        <v>0</v>
      </c>
      <c r="O63" s="100">
        <f t="shared" si="25"/>
        <v>0</v>
      </c>
      <c r="P63" s="100">
        <f t="shared" si="25"/>
        <v>0</v>
      </c>
      <c r="Q63" s="100">
        <f t="shared" si="25"/>
        <v>0</v>
      </c>
      <c r="R63" s="162">
        <f t="shared" si="25"/>
        <v>0</v>
      </c>
      <c r="S63" s="115">
        <f t="shared" si="23"/>
        <v>677238.60889631242</v>
      </c>
      <c r="T63" s="103"/>
      <c r="U63" s="103"/>
    </row>
    <row r="64" spans="2:21" s="102" customFormat="1" ht="15" x14ac:dyDescent="0.25">
      <c r="B64" s="192" t="s">
        <v>84</v>
      </c>
      <c r="C64" s="192" t="s">
        <v>289</v>
      </c>
      <c r="D64" s="248"/>
      <c r="E64" s="114" t="str">
        <f t="shared" si="14"/>
        <v>Canone Immobile 3</v>
      </c>
      <c r="F64" s="103"/>
      <c r="G64" s="100">
        <f>G44*H8/4</f>
        <v>55500</v>
      </c>
      <c r="H64" s="100">
        <f t="shared" ref="H64:R64" si="26">G64*H44*(1+$I$12/4)</f>
        <v>55777.499999999993</v>
      </c>
      <c r="I64" s="100">
        <f t="shared" si="26"/>
        <v>56056.38749999999</v>
      </c>
      <c r="J64" s="100">
        <f t="shared" si="26"/>
        <v>56336.669437499986</v>
      </c>
      <c r="K64" s="100">
        <f t="shared" si="26"/>
        <v>56618.352784687479</v>
      </c>
      <c r="L64" s="100">
        <f t="shared" si="26"/>
        <v>56901.444548610911</v>
      </c>
      <c r="M64" s="100">
        <f t="shared" si="26"/>
        <v>0</v>
      </c>
      <c r="N64" s="100">
        <f t="shared" si="26"/>
        <v>0</v>
      </c>
      <c r="O64" s="100">
        <f t="shared" si="26"/>
        <v>0</v>
      </c>
      <c r="P64" s="100">
        <f t="shared" si="26"/>
        <v>0</v>
      </c>
      <c r="Q64" s="100">
        <f t="shared" si="26"/>
        <v>0</v>
      </c>
      <c r="R64" s="162">
        <f t="shared" si="26"/>
        <v>0</v>
      </c>
      <c r="S64" s="115">
        <f t="shared" si="23"/>
        <v>337190.35427079833</v>
      </c>
      <c r="T64" s="103"/>
      <c r="U64" s="103"/>
    </row>
    <row r="65" spans="2:21" s="102" customFormat="1" ht="15" x14ac:dyDescent="0.25">
      <c r="B65" s="192" t="s">
        <v>85</v>
      </c>
      <c r="C65" s="192" t="s">
        <v>290</v>
      </c>
      <c r="D65" s="248"/>
      <c r="E65" s="114" t="str">
        <f t="shared" si="14"/>
        <v>Canone Immobile 4</v>
      </c>
      <c r="F65" s="103"/>
      <c r="G65" s="100">
        <f>G45*H9/4</f>
        <v>267000</v>
      </c>
      <c r="H65" s="100">
        <f t="shared" ref="H65:R65" si="27">G65*H45*(1+$I$12/4)</f>
        <v>268335</v>
      </c>
      <c r="I65" s="100">
        <f t="shared" si="27"/>
        <v>269676.67499999999</v>
      </c>
      <c r="J65" s="100">
        <f t="shared" si="27"/>
        <v>271025.05837499996</v>
      </c>
      <c r="K65" s="100">
        <f t="shared" si="27"/>
        <v>272380.18366687495</v>
      </c>
      <c r="L65" s="100">
        <f t="shared" si="27"/>
        <v>273742.08458520932</v>
      </c>
      <c r="M65" s="100">
        <f t="shared" si="27"/>
        <v>275110.79500813532</v>
      </c>
      <c r="N65" s="100">
        <f t="shared" si="27"/>
        <v>0</v>
      </c>
      <c r="O65" s="100">
        <f t="shared" si="27"/>
        <v>0</v>
      </c>
      <c r="P65" s="100">
        <f t="shared" si="27"/>
        <v>0</v>
      </c>
      <c r="Q65" s="100">
        <f t="shared" si="27"/>
        <v>0</v>
      </c>
      <c r="R65" s="162">
        <f t="shared" si="27"/>
        <v>0</v>
      </c>
      <c r="S65" s="115">
        <f t="shared" si="23"/>
        <v>1897269.7966352196</v>
      </c>
      <c r="T65" s="103"/>
      <c r="U65" s="103"/>
    </row>
    <row r="66" spans="2:21" s="102" customFormat="1" ht="15" x14ac:dyDescent="0.25">
      <c r="B66" s="206" t="s">
        <v>86</v>
      </c>
      <c r="C66" s="206" t="s">
        <v>291</v>
      </c>
      <c r="D66" s="248"/>
      <c r="E66" s="129" t="str">
        <f t="shared" si="14"/>
        <v>Canone Immobile 5</v>
      </c>
      <c r="F66" s="128"/>
      <c r="G66" s="126">
        <f>G46*H10/4</f>
        <v>148500</v>
      </c>
      <c r="H66" s="126">
        <f t="shared" ref="H66:R66" si="28">G66*H46*(1+$I$12/4)</f>
        <v>149242.49999999997</v>
      </c>
      <c r="I66" s="126">
        <f t="shared" si="28"/>
        <v>149988.71249999997</v>
      </c>
      <c r="J66" s="126">
        <f t="shared" si="28"/>
        <v>150738.65606249994</v>
      </c>
      <c r="K66" s="126">
        <f t="shared" si="28"/>
        <v>151492.34934281243</v>
      </c>
      <c r="L66" s="126">
        <f t="shared" si="28"/>
        <v>152249.81108952648</v>
      </c>
      <c r="M66" s="126">
        <f t="shared" si="28"/>
        <v>153011.06014497409</v>
      </c>
      <c r="N66" s="126">
        <f t="shared" si="28"/>
        <v>153776.11544569896</v>
      </c>
      <c r="O66" s="126">
        <f t="shared" si="28"/>
        <v>154544.99602292743</v>
      </c>
      <c r="P66" s="126">
        <f t="shared" si="28"/>
        <v>0</v>
      </c>
      <c r="Q66" s="126">
        <f t="shared" si="28"/>
        <v>0</v>
      </c>
      <c r="R66" s="163">
        <f t="shared" si="28"/>
        <v>0</v>
      </c>
      <c r="S66" s="130">
        <f t="shared" si="23"/>
        <v>1363544.200608439</v>
      </c>
      <c r="T66" s="103"/>
      <c r="U66" s="103"/>
    </row>
    <row r="67" spans="2:21" s="102" customFormat="1" ht="15" x14ac:dyDescent="0.25">
      <c r="B67" s="196" t="s">
        <v>29</v>
      </c>
      <c r="C67" s="196" t="s">
        <v>309</v>
      </c>
      <c r="D67" s="248"/>
      <c r="E67" s="102" t="str">
        <f t="shared" si="14"/>
        <v>Flusso Immobiliare</v>
      </c>
      <c r="F67" s="103">
        <f>F61+SUM(F62:F66)</f>
        <v>-7800000</v>
      </c>
      <c r="G67" s="103">
        <f>G61+SUM(G62:G66)</f>
        <v>-30505650</v>
      </c>
      <c r="H67" s="103">
        <f>H61+SUM(H62:H66)</f>
        <v>697821.75</v>
      </c>
      <c r="I67" s="103">
        <f t="shared" ref="I67:N67" si="29">I61+SUM(I62:I66)</f>
        <v>701310.8587499999</v>
      </c>
      <c r="J67" s="103">
        <f t="shared" si="29"/>
        <v>6564221.9581375001</v>
      </c>
      <c r="K67" s="103">
        <f t="shared" si="29"/>
        <v>617293.06792818732</v>
      </c>
      <c r="L67" s="103">
        <f t="shared" si="29"/>
        <v>9422893.3402233459</v>
      </c>
      <c r="M67" s="103">
        <f t="shared" si="29"/>
        <v>4128121.8551531094</v>
      </c>
      <c r="N67" s="103">
        <f t="shared" si="29"/>
        <v>17953776.1154457</v>
      </c>
      <c r="O67" s="103">
        <f>O61+SUM(O62:O66)</f>
        <v>154544.99602292743</v>
      </c>
      <c r="P67" s="103">
        <f>P61+SUM(P62:P66)</f>
        <v>9900000</v>
      </c>
      <c r="Q67" s="103">
        <f>Q61+SUM(Q62:Q66)</f>
        <v>0</v>
      </c>
      <c r="R67" s="164">
        <f>R61+SUM(R62:R66)</f>
        <v>0</v>
      </c>
      <c r="S67" s="115">
        <f t="shared" si="23"/>
        <v>11834333.941660771</v>
      </c>
      <c r="T67" s="103"/>
      <c r="U67" s="103"/>
    </row>
    <row r="68" spans="2:21" s="102" customFormat="1" ht="15" x14ac:dyDescent="0.25">
      <c r="D68" s="248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7"/>
      <c r="T68" s="103"/>
      <c r="U68" s="103"/>
    </row>
    <row r="69" spans="2:21" ht="15.75" outlineLevel="1" thickBot="1" x14ac:dyDescent="0.3">
      <c r="B69" s="197" t="s">
        <v>32</v>
      </c>
      <c r="C69" s="197" t="s">
        <v>207</v>
      </c>
      <c r="D69" s="248"/>
      <c r="E69" s="131" t="str">
        <f>IF($A$1=1,B69,C69)</f>
        <v>Posizione IVA</v>
      </c>
      <c r="F69" s="204">
        <v>0</v>
      </c>
      <c r="G69" s="204">
        <v>1</v>
      </c>
      <c r="H69" s="204">
        <v>2</v>
      </c>
      <c r="I69" s="204">
        <v>3</v>
      </c>
      <c r="J69" s="204">
        <v>4</v>
      </c>
      <c r="K69" s="204">
        <v>5</v>
      </c>
      <c r="L69" s="204">
        <v>6</v>
      </c>
      <c r="M69" s="204">
        <v>7</v>
      </c>
      <c r="N69" s="204">
        <v>8</v>
      </c>
      <c r="O69" s="204">
        <v>9</v>
      </c>
      <c r="P69" s="204">
        <v>10</v>
      </c>
      <c r="Q69" s="204">
        <v>11</v>
      </c>
      <c r="R69" s="226">
        <v>12</v>
      </c>
      <c r="S69" s="204" t="s">
        <v>368</v>
      </c>
    </row>
    <row r="70" spans="2:21" ht="15.75" outlineLevel="1" thickTop="1" x14ac:dyDescent="0.25">
      <c r="B70" s="191" t="s">
        <v>37</v>
      </c>
      <c r="C70" s="191" t="s">
        <v>292</v>
      </c>
      <c r="D70" s="248"/>
      <c r="E70" s="99" t="str">
        <f>IF($A$1=1,B70,C70)</f>
        <v>IVA Periodo</v>
      </c>
      <c r="F70" s="100"/>
      <c r="G70" s="100">
        <f>SUM(F67:G67)*$G$12</f>
        <v>-8427243</v>
      </c>
      <c r="H70" s="100">
        <f>H67*$G$12</f>
        <v>153520.785</v>
      </c>
      <c r="I70" s="100">
        <f>I67*$G$12</f>
        <v>154288.38892499998</v>
      </c>
      <c r="J70" s="100">
        <f>J67*$G$12</f>
        <v>1444128.8307902501</v>
      </c>
      <c r="K70" s="100">
        <f>K67*$G$12</f>
        <v>135804.47494420121</v>
      </c>
      <c r="L70" s="100">
        <f t="shared" ref="L70:R70" si="30">L67*$G$12</f>
        <v>2073036.5348491361</v>
      </c>
      <c r="M70" s="100">
        <f t="shared" si="30"/>
        <v>908186.8081336841</v>
      </c>
      <c r="N70" s="100">
        <f t="shared" si="30"/>
        <v>3949830.7453980539</v>
      </c>
      <c r="O70" s="100">
        <f t="shared" si="30"/>
        <v>33999.899125044038</v>
      </c>
      <c r="P70" s="100">
        <f t="shared" si="30"/>
        <v>2178000</v>
      </c>
      <c r="Q70" s="100">
        <f t="shared" si="30"/>
        <v>0</v>
      </c>
      <c r="R70" s="162">
        <f t="shared" si="30"/>
        <v>0</v>
      </c>
      <c r="S70" s="115">
        <f>SUM(F70:R70)</f>
        <v>2603553.4671653705</v>
      </c>
    </row>
    <row r="71" spans="2:21" ht="15" outlineLevel="1" x14ac:dyDescent="0.25">
      <c r="D71" s="248"/>
      <c r="F71" s="100"/>
      <c r="G71" s="100"/>
      <c r="L71" s="113"/>
      <c r="R71" s="162"/>
    </row>
    <row r="72" spans="2:21" ht="15" outlineLevel="1" x14ac:dyDescent="0.25">
      <c r="B72" s="192" t="s">
        <v>165</v>
      </c>
      <c r="C72" s="191" t="s">
        <v>293</v>
      </c>
      <c r="D72" s="248"/>
      <c r="E72" s="114" t="str">
        <f t="shared" ref="E72:E77" si="31">IF($A$1=1,B72,C72)</f>
        <v>Credito IVA Iniziale</v>
      </c>
      <c r="F72" s="100"/>
      <c r="G72" s="115">
        <f>F77</f>
        <v>0</v>
      </c>
      <c r="H72" s="115">
        <f t="shared" ref="H72:R72" si="32">G77</f>
        <v>8427243</v>
      </c>
      <c r="I72" s="115">
        <f t="shared" si="32"/>
        <v>8273722.2149999999</v>
      </c>
      <c r="J72" s="115">
        <f t="shared" si="32"/>
        <v>8119433.8260749998</v>
      </c>
      <c r="K72" s="115">
        <f t="shared" si="32"/>
        <v>6675304.9952847492</v>
      </c>
      <c r="L72" s="115">
        <f t="shared" si="32"/>
        <v>6539500.5203405479</v>
      </c>
      <c r="M72" s="115">
        <f t="shared" si="32"/>
        <v>4466463.9854914118</v>
      </c>
      <c r="N72" s="115">
        <f t="shared" si="32"/>
        <v>3558277.1773577277</v>
      </c>
      <c r="O72" s="115">
        <f t="shared" si="32"/>
        <v>0</v>
      </c>
      <c r="P72" s="115">
        <f t="shared" si="32"/>
        <v>0</v>
      </c>
      <c r="Q72" s="115">
        <f t="shared" si="32"/>
        <v>0</v>
      </c>
      <c r="R72" s="159">
        <f t="shared" si="32"/>
        <v>0</v>
      </c>
      <c r="S72" s="115"/>
    </row>
    <row r="73" spans="2:21" ht="15" outlineLevel="1" x14ac:dyDescent="0.25">
      <c r="B73" s="191" t="s">
        <v>39</v>
      </c>
      <c r="C73" s="191" t="s">
        <v>226</v>
      </c>
      <c r="D73" s="248"/>
      <c r="E73" s="99" t="str">
        <f t="shared" si="31"/>
        <v>IVA Versata</v>
      </c>
      <c r="F73" s="100">
        <f>-IF(F70&gt;0,-MIN(F72-F70,0),0)</f>
        <v>0</v>
      </c>
      <c r="G73" s="100">
        <f t="shared" ref="G73:R73" si="33">-IF(G70&gt;0,-MIN(G72-G70,0),0)</f>
        <v>0</v>
      </c>
      <c r="H73" s="100">
        <f t="shared" si="33"/>
        <v>0</v>
      </c>
      <c r="I73" s="100">
        <f t="shared" si="33"/>
        <v>0</v>
      </c>
      <c r="J73" s="100">
        <f t="shared" si="33"/>
        <v>0</v>
      </c>
      <c r="K73" s="100">
        <f t="shared" si="33"/>
        <v>0</v>
      </c>
      <c r="L73" s="100">
        <f t="shared" si="33"/>
        <v>0</v>
      </c>
      <c r="M73" s="100">
        <f t="shared" si="33"/>
        <v>0</v>
      </c>
      <c r="N73" s="100">
        <f t="shared" si="33"/>
        <v>-391553.56804032624</v>
      </c>
      <c r="O73" s="100">
        <f t="shared" si="33"/>
        <v>-33999.899125044038</v>
      </c>
      <c r="P73" s="100">
        <f t="shared" si="33"/>
        <v>-2178000</v>
      </c>
      <c r="Q73" s="100">
        <f t="shared" si="33"/>
        <v>0</v>
      </c>
      <c r="R73" s="162">
        <f t="shared" si="33"/>
        <v>0</v>
      </c>
    </row>
    <row r="74" spans="2:21" ht="15" outlineLevel="1" x14ac:dyDescent="0.25">
      <c r="B74" s="191" t="s">
        <v>33</v>
      </c>
      <c r="C74" s="191" t="s">
        <v>227</v>
      </c>
      <c r="D74" s="248"/>
      <c r="E74" s="99" t="str">
        <f t="shared" si="31"/>
        <v>Incremento Credito</v>
      </c>
      <c r="F74" s="100">
        <f t="shared" ref="F74:K74" si="34">IF(F70&lt;0,-F70,0)</f>
        <v>0</v>
      </c>
      <c r="G74" s="100">
        <f t="shared" si="34"/>
        <v>8427243</v>
      </c>
      <c r="H74" s="100">
        <f t="shared" si="34"/>
        <v>0</v>
      </c>
      <c r="I74" s="100">
        <f t="shared" si="34"/>
        <v>0</v>
      </c>
      <c r="J74" s="100">
        <f t="shared" si="34"/>
        <v>0</v>
      </c>
      <c r="K74" s="100">
        <f t="shared" si="34"/>
        <v>0</v>
      </c>
      <c r="L74" s="100">
        <f t="shared" ref="L74:R74" si="35">IF(L70&lt;0,-L70,0)</f>
        <v>0</v>
      </c>
      <c r="M74" s="100">
        <f t="shared" si="35"/>
        <v>0</v>
      </c>
      <c r="N74" s="100">
        <f t="shared" si="35"/>
        <v>0</v>
      </c>
      <c r="O74" s="100">
        <f t="shared" si="35"/>
        <v>0</v>
      </c>
      <c r="P74" s="100">
        <f t="shared" si="35"/>
        <v>0</v>
      </c>
      <c r="Q74" s="100">
        <f t="shared" si="35"/>
        <v>0</v>
      </c>
      <c r="R74" s="162">
        <f t="shared" si="35"/>
        <v>0</v>
      </c>
      <c r="S74" s="115"/>
    </row>
    <row r="75" spans="2:21" ht="15" outlineLevel="1" x14ac:dyDescent="0.25">
      <c r="B75" s="191" t="s">
        <v>35</v>
      </c>
      <c r="C75" s="191" t="s">
        <v>228</v>
      </c>
      <c r="D75" s="248"/>
      <c r="E75" s="99" t="str">
        <f t="shared" si="31"/>
        <v>IVA Intermedio</v>
      </c>
      <c r="F75" s="100">
        <f t="shared" ref="F75:K75" si="36">F72+F74</f>
        <v>0</v>
      </c>
      <c r="G75" s="100">
        <f t="shared" si="36"/>
        <v>8427243</v>
      </c>
      <c r="H75" s="100">
        <f t="shared" si="36"/>
        <v>8427243</v>
      </c>
      <c r="I75" s="100">
        <f t="shared" si="36"/>
        <v>8273722.2149999999</v>
      </c>
      <c r="J75" s="100">
        <f t="shared" si="36"/>
        <v>8119433.8260749998</v>
      </c>
      <c r="K75" s="100">
        <f t="shared" si="36"/>
        <v>6675304.9952847492</v>
      </c>
      <c r="L75" s="100">
        <f t="shared" ref="L75:R75" si="37">L72+L74</f>
        <v>6539500.5203405479</v>
      </c>
      <c r="M75" s="100">
        <f t="shared" si="37"/>
        <v>4466463.9854914118</v>
      </c>
      <c r="N75" s="100">
        <f t="shared" si="37"/>
        <v>3558277.1773577277</v>
      </c>
      <c r="O75" s="100">
        <f t="shared" si="37"/>
        <v>0</v>
      </c>
      <c r="P75" s="100">
        <f t="shared" si="37"/>
        <v>0</v>
      </c>
      <c r="Q75" s="100">
        <f t="shared" si="37"/>
        <v>0</v>
      </c>
      <c r="R75" s="162">
        <f t="shared" si="37"/>
        <v>0</v>
      </c>
      <c r="S75" s="115"/>
    </row>
    <row r="76" spans="2:21" ht="15" outlineLevel="1" x14ac:dyDescent="0.25">
      <c r="B76" s="191" t="s">
        <v>34</v>
      </c>
      <c r="C76" s="191" t="s">
        <v>374</v>
      </c>
      <c r="D76" s="248"/>
      <c r="E76" s="99" t="str">
        <f t="shared" si="31"/>
        <v>Riduzione Credito</v>
      </c>
      <c r="F76" s="100">
        <f>IF(F70&gt;0,MAX(F70-F75,0),0)</f>
        <v>0</v>
      </c>
      <c r="G76" s="100">
        <f>IF(G70&gt;0,MIN(G70,G75),0)</f>
        <v>0</v>
      </c>
      <c r="H76" s="100">
        <f>IF(H70&gt;0,MIN(H70,H75),0)</f>
        <v>153520.785</v>
      </c>
      <c r="I76" s="100">
        <f>IF(I70&gt;0,MIN(I70,I75),0)</f>
        <v>154288.38892499998</v>
      </c>
      <c r="J76" s="100">
        <f>IF(J70&gt;0,MIN(J70,J75),0)</f>
        <v>1444128.8307902501</v>
      </c>
      <c r="K76" s="100">
        <f>IF(K70&gt;0,MIN(K70,K75),0)</f>
        <v>135804.47494420121</v>
      </c>
      <c r="L76" s="100">
        <f t="shared" ref="L76:R76" si="38">IF(L70&gt;0,MIN(L70,L75),0)</f>
        <v>2073036.5348491361</v>
      </c>
      <c r="M76" s="100">
        <f t="shared" si="38"/>
        <v>908186.8081336841</v>
      </c>
      <c r="N76" s="100">
        <f t="shared" si="38"/>
        <v>3558277.1773577277</v>
      </c>
      <c r="O76" s="100">
        <f t="shared" si="38"/>
        <v>0</v>
      </c>
      <c r="P76" s="100">
        <f t="shared" si="38"/>
        <v>0</v>
      </c>
      <c r="Q76" s="100">
        <f t="shared" si="38"/>
        <v>0</v>
      </c>
      <c r="R76" s="162">
        <f t="shared" si="38"/>
        <v>0</v>
      </c>
      <c r="S76" s="115"/>
    </row>
    <row r="77" spans="2:21" ht="15" outlineLevel="1" x14ac:dyDescent="0.25">
      <c r="B77" s="192" t="s">
        <v>166</v>
      </c>
      <c r="C77" s="192" t="s">
        <v>230</v>
      </c>
      <c r="D77" s="248"/>
      <c r="E77" s="114" t="str">
        <f t="shared" si="31"/>
        <v>Credito IVA Finale</v>
      </c>
      <c r="F77" s="100">
        <f t="shared" ref="F77:K77" si="39">F75-F76</f>
        <v>0</v>
      </c>
      <c r="G77" s="100">
        <f t="shared" si="39"/>
        <v>8427243</v>
      </c>
      <c r="H77" s="100">
        <f t="shared" si="39"/>
        <v>8273722.2149999999</v>
      </c>
      <c r="I77" s="100">
        <f t="shared" si="39"/>
        <v>8119433.8260749998</v>
      </c>
      <c r="J77" s="100">
        <f t="shared" si="39"/>
        <v>6675304.9952847492</v>
      </c>
      <c r="K77" s="100">
        <f t="shared" si="39"/>
        <v>6539500.5203405479</v>
      </c>
      <c r="L77" s="100">
        <f t="shared" ref="L77:R77" si="40">L75-L76</f>
        <v>4466463.9854914118</v>
      </c>
      <c r="M77" s="100">
        <f t="shared" si="40"/>
        <v>3558277.1773577277</v>
      </c>
      <c r="N77" s="100">
        <f t="shared" si="40"/>
        <v>0</v>
      </c>
      <c r="O77" s="100">
        <f t="shared" si="40"/>
        <v>0</v>
      </c>
      <c r="P77" s="100">
        <f t="shared" si="40"/>
        <v>0</v>
      </c>
      <c r="Q77" s="100">
        <f t="shared" si="40"/>
        <v>0</v>
      </c>
      <c r="R77" s="162">
        <f t="shared" si="40"/>
        <v>0</v>
      </c>
      <c r="S77" s="115"/>
    </row>
    <row r="78" spans="2:21" ht="15" outlineLevel="1" x14ac:dyDescent="0.25">
      <c r="B78" s="114"/>
      <c r="C78" s="114"/>
      <c r="D78" s="248"/>
      <c r="E78" s="114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59"/>
      <c r="S78" s="115"/>
    </row>
    <row r="79" spans="2:21" ht="15" outlineLevel="1" x14ac:dyDescent="0.25">
      <c r="B79" s="206" t="s">
        <v>38</v>
      </c>
      <c r="C79" s="206" t="s">
        <v>294</v>
      </c>
      <c r="D79" s="248"/>
      <c r="E79" s="129" t="str">
        <f>IF($A$1=1,B79,C79)</f>
        <v>Flusso IVA</v>
      </c>
      <c r="F79" s="130">
        <f>F70+F73</f>
        <v>0</v>
      </c>
      <c r="G79" s="130">
        <f t="shared" ref="G79:R79" si="41">G70+G73</f>
        <v>-8427243</v>
      </c>
      <c r="H79" s="130">
        <f t="shared" si="41"/>
        <v>153520.785</v>
      </c>
      <c r="I79" s="130">
        <f t="shared" si="41"/>
        <v>154288.38892499998</v>
      </c>
      <c r="J79" s="130">
        <f t="shared" si="41"/>
        <v>1444128.8307902501</v>
      </c>
      <c r="K79" s="130">
        <f t="shared" si="41"/>
        <v>135804.47494420121</v>
      </c>
      <c r="L79" s="130">
        <f t="shared" si="41"/>
        <v>2073036.5348491361</v>
      </c>
      <c r="M79" s="130">
        <f t="shared" si="41"/>
        <v>908186.8081336841</v>
      </c>
      <c r="N79" s="130">
        <f>N70+N73</f>
        <v>3558277.1773577277</v>
      </c>
      <c r="O79" s="130">
        <f t="shared" si="41"/>
        <v>0</v>
      </c>
      <c r="P79" s="130">
        <f t="shared" si="41"/>
        <v>0</v>
      </c>
      <c r="Q79" s="130">
        <f t="shared" si="41"/>
        <v>0</v>
      </c>
      <c r="R79" s="160">
        <f t="shared" si="41"/>
        <v>0</v>
      </c>
      <c r="S79" s="130">
        <f>SUM(F79:R79)</f>
        <v>0</v>
      </c>
    </row>
    <row r="80" spans="2:21" ht="15" outlineLevel="1" x14ac:dyDescent="0.25">
      <c r="B80" s="196" t="s">
        <v>36</v>
      </c>
      <c r="C80" s="196" t="s">
        <v>295</v>
      </c>
      <c r="D80" s="248"/>
      <c r="E80" s="102" t="str">
        <f>IF($A$1=1,B80,C80)</f>
        <v>Flusso Operativo con IVA</v>
      </c>
      <c r="F80" s="103">
        <f t="shared" ref="F80:R80" si="42">F79+F67</f>
        <v>-7800000</v>
      </c>
      <c r="G80" s="103">
        <f t="shared" si="42"/>
        <v>-38932893</v>
      </c>
      <c r="H80" s="103">
        <f t="shared" si="42"/>
        <v>851342.53500000003</v>
      </c>
      <c r="I80" s="103">
        <f t="shared" si="42"/>
        <v>855599.24767499988</v>
      </c>
      <c r="J80" s="103">
        <f t="shared" si="42"/>
        <v>8008350.7889277507</v>
      </c>
      <c r="K80" s="103">
        <f t="shared" si="42"/>
        <v>753097.5428723885</v>
      </c>
      <c r="L80" s="103">
        <f t="shared" si="42"/>
        <v>11495929.875072483</v>
      </c>
      <c r="M80" s="103">
        <f t="shared" si="42"/>
        <v>5036308.663286794</v>
      </c>
      <c r="N80" s="103">
        <f t="shared" si="42"/>
        <v>21512053.292803429</v>
      </c>
      <c r="O80" s="103">
        <f t="shared" si="42"/>
        <v>154544.99602292743</v>
      </c>
      <c r="P80" s="103">
        <f t="shared" si="42"/>
        <v>9900000</v>
      </c>
      <c r="Q80" s="103">
        <f t="shared" si="42"/>
        <v>0</v>
      </c>
      <c r="R80" s="164">
        <f t="shared" si="42"/>
        <v>0</v>
      </c>
      <c r="S80" s="115">
        <f>SUM(F80:R80)</f>
        <v>11834333.941660771</v>
      </c>
    </row>
    <row r="81" spans="2:21" ht="15" x14ac:dyDescent="0.25">
      <c r="B81" s="114"/>
      <c r="C81" s="114"/>
      <c r="E81" s="114"/>
      <c r="F81" s="100"/>
      <c r="G81" s="100"/>
    </row>
    <row r="82" spans="2:21" ht="15" x14ac:dyDescent="0.25">
      <c r="B82" s="114"/>
      <c r="C82" s="114"/>
      <c r="E82" s="114"/>
      <c r="F82" s="115"/>
      <c r="G82" s="115"/>
      <c r="H82" s="115"/>
      <c r="I82" s="115"/>
      <c r="J82" s="115"/>
      <c r="K82" s="115"/>
    </row>
    <row r="83" spans="2:21" s="102" customFormat="1" ht="15.75" thickBot="1" x14ac:dyDescent="0.3">
      <c r="B83" s="197" t="s">
        <v>91</v>
      </c>
      <c r="C83" s="197" t="s">
        <v>91</v>
      </c>
      <c r="D83" s="248" t="s">
        <v>248</v>
      </c>
      <c r="E83" s="131" t="str">
        <f t="shared" ref="E83:E89" si="43">IF($A$1=1,B83,C83)</f>
        <v>Release price</v>
      </c>
      <c r="F83" s="204">
        <v>0</v>
      </c>
      <c r="G83" s="204">
        <v>1</v>
      </c>
      <c r="H83" s="204">
        <v>2</v>
      </c>
      <c r="I83" s="204">
        <v>3</v>
      </c>
      <c r="J83" s="204">
        <v>4</v>
      </c>
      <c r="K83" s="204">
        <v>5</v>
      </c>
      <c r="L83" s="204">
        <v>6</v>
      </c>
      <c r="M83" s="204">
        <v>7</v>
      </c>
      <c r="N83" s="204">
        <v>8</v>
      </c>
      <c r="O83" s="204">
        <v>9</v>
      </c>
      <c r="P83" s="204">
        <v>10</v>
      </c>
      <c r="Q83" s="204">
        <v>11</v>
      </c>
      <c r="R83" s="226">
        <v>12</v>
      </c>
      <c r="S83" s="204" t="s">
        <v>368</v>
      </c>
      <c r="T83" s="103"/>
      <c r="U83" s="103"/>
    </row>
    <row r="84" spans="2:21" s="102" customFormat="1" ht="15.75" thickTop="1" x14ac:dyDescent="0.25">
      <c r="B84" s="191" t="s">
        <v>55</v>
      </c>
      <c r="C84" s="191" t="s">
        <v>255</v>
      </c>
      <c r="D84" s="248"/>
      <c r="E84" s="99" t="str">
        <f t="shared" si="43"/>
        <v>Immobile 1</v>
      </c>
      <c r="F84" s="100"/>
      <c r="G84" s="100"/>
      <c r="H84" s="100">
        <f>(MIN($K6*(G42-H42),$F$37-SUM($G$84:G$88)))</f>
        <v>0</v>
      </c>
      <c r="I84" s="100">
        <f>(MIN($K6*(H42-I42),$F$37-SUM($G$84:H$88)))</f>
        <v>0</v>
      </c>
      <c r="J84" s="100">
        <f>(MIN($K6*(I42-J42),$F$37-SUM($G$84:I$88)))</f>
        <v>4627349.3195074527</v>
      </c>
      <c r="K84" s="100">
        <f>(MIN($K6*(J42-K42),$F$37-SUM($G$84:J$88)))</f>
        <v>0</v>
      </c>
      <c r="L84" s="100">
        <f>(MIN($K6*(K42-L42),$F$37-SUM($G$84:K$88)))</f>
        <v>0</v>
      </c>
      <c r="M84" s="100">
        <f>(MIN($K6*(L42-M42),$F$37-SUM($G$84:L$88)))</f>
        <v>0</v>
      </c>
      <c r="N84" s="100">
        <f>(MIN($K6*(M42-N42),$F$37-SUM($G$84:M$88)))</f>
        <v>0</v>
      </c>
      <c r="O84" s="100">
        <f>(MIN($K6*(N42-O42),$F$37-SUM($G$84:N$88)))</f>
        <v>0</v>
      </c>
      <c r="P84" s="100">
        <f>(MIN($K6*(O42-P42),$F$37-SUM($G$84:O$88)))</f>
        <v>0</v>
      </c>
      <c r="Q84" s="100">
        <f>(MIN($K6*(P42-Q42),$F$37-SUM($G$84:P$88)))</f>
        <v>0</v>
      </c>
      <c r="R84" s="162">
        <f>(MIN($K6*(Q42-R42),$F$37-SUM($G$84:Q$88)))</f>
        <v>0</v>
      </c>
      <c r="S84" s="115">
        <f>SUM(F84:R84)</f>
        <v>4627349.3195074527</v>
      </c>
      <c r="T84" s="103"/>
      <c r="U84" s="103"/>
    </row>
    <row r="85" spans="2:21" s="102" customFormat="1" ht="15" x14ac:dyDescent="0.25">
      <c r="B85" s="191" t="s">
        <v>56</v>
      </c>
      <c r="C85" s="191" t="s">
        <v>256</v>
      </c>
      <c r="D85" s="248"/>
      <c r="E85" s="99" t="str">
        <f t="shared" si="43"/>
        <v>Immobile 2</v>
      </c>
      <c r="F85" s="100"/>
      <c r="G85" s="100"/>
      <c r="H85" s="100">
        <f>(MIN($K7*(G43-H43),$F$37-SUM($G$84:G$88)))</f>
        <v>0</v>
      </c>
      <c r="I85" s="100">
        <f>(MIN($K7*(H43-I43),$F$37-SUM($G$84:H$88)))</f>
        <v>0</v>
      </c>
      <c r="J85" s="100">
        <f>(MIN($K7*(I43-J43),$F$37-SUM($G$84:I$88)))</f>
        <v>0</v>
      </c>
      <c r="K85" s="100">
        <f>(MIN($K7*(J43-K43),$F$37-SUM($G$84:J$88)))</f>
        <v>0</v>
      </c>
      <c r="L85" s="100">
        <f>(MIN($K7*(K43-L43),$F$37-SUM($G$84:K$88)))</f>
        <v>6952689.5657809461</v>
      </c>
      <c r="M85" s="100">
        <f>(MIN($K7*(L43-M43),$F$37-SUM($G$84:L$88)))</f>
        <v>0</v>
      </c>
      <c r="N85" s="100">
        <f>(MIN($K7*(M43-N43),$F$37-SUM($G$84:M$88)))</f>
        <v>0</v>
      </c>
      <c r="O85" s="100">
        <f>(MIN($K7*(N43-O43),$F$37-SUM($G$84:N$88)))</f>
        <v>0</v>
      </c>
      <c r="P85" s="100">
        <f>(MIN($K7*(O43-P43),$F$37-SUM($G$84:O$88)))</f>
        <v>0</v>
      </c>
      <c r="Q85" s="100">
        <f>(MIN($K7*(P43-Q43),$F$37-SUM($G$84:P$88)))</f>
        <v>0</v>
      </c>
      <c r="R85" s="162">
        <f>(MIN($K7*(Q43-R43),$F$37-SUM($G$84:Q$88)))</f>
        <v>0</v>
      </c>
      <c r="S85" s="115">
        <f>SUM(F85:R85)</f>
        <v>6952689.5657809461</v>
      </c>
      <c r="T85" s="103"/>
      <c r="U85" s="103"/>
    </row>
    <row r="86" spans="2:21" s="102" customFormat="1" ht="15" x14ac:dyDescent="0.25">
      <c r="B86" s="191" t="s">
        <v>57</v>
      </c>
      <c r="C86" s="191" t="s">
        <v>257</v>
      </c>
      <c r="D86" s="248"/>
      <c r="E86" s="99" t="str">
        <f t="shared" si="43"/>
        <v>Immobile 3</v>
      </c>
      <c r="F86" s="100"/>
      <c r="G86" s="100"/>
      <c r="H86" s="100">
        <f>(MIN($K8*(G44-H44),$F$37-SUM($G$84:G$88)))</f>
        <v>0</v>
      </c>
      <c r="I86" s="100">
        <f>(MIN($K8*(H44-I44),$F$37-SUM($G$84:H$88)))</f>
        <v>0</v>
      </c>
      <c r="J86" s="100">
        <f>(MIN($K8*(I44-J44),$F$37-SUM($G$84:I$88)))</f>
        <v>0</v>
      </c>
      <c r="K86" s="100">
        <f>(MIN($K8*(J44-K44),$F$37-SUM($G$84:J$88)))</f>
        <v>0</v>
      </c>
      <c r="L86" s="100">
        <f>(MIN($K8*(K44-L44),$F$37-SUM($G$84:K$88)))</f>
        <v>0</v>
      </c>
      <c r="M86" s="100">
        <f>(MIN($K8*(L44-M44),$F$37-SUM($G$84:L$88)))</f>
        <v>2877511.3415424493</v>
      </c>
      <c r="N86" s="100">
        <f>(MIN($K8*(M44-N44),$F$37-SUM($G$84:M$88)))</f>
        <v>0</v>
      </c>
      <c r="O86" s="100">
        <f>(MIN($K8*(N44-O44),$F$37-SUM($G$84:N$88)))</f>
        <v>0</v>
      </c>
      <c r="P86" s="100">
        <f>(MIN($K8*(O44-P44),$F$37-SUM($G$84:O$88)))</f>
        <v>0</v>
      </c>
      <c r="Q86" s="100">
        <f>(MIN($K8*(P44-Q44),$F$37-SUM($G$84:P$88)))</f>
        <v>0</v>
      </c>
      <c r="R86" s="162">
        <f>(MIN($K8*(Q44-R44),$F$37-SUM($G$84:Q$88)))</f>
        <v>0</v>
      </c>
      <c r="S86" s="115">
        <f>SUM(F86:R86)</f>
        <v>2877511.3415424493</v>
      </c>
      <c r="T86" s="103"/>
      <c r="U86" s="103"/>
    </row>
    <row r="87" spans="2:21" s="102" customFormat="1" ht="15" x14ac:dyDescent="0.25">
      <c r="B87" s="191" t="s">
        <v>58</v>
      </c>
      <c r="C87" s="191" t="s">
        <v>258</v>
      </c>
      <c r="D87" s="248"/>
      <c r="E87" s="99" t="str">
        <f t="shared" si="43"/>
        <v>Immobile 4</v>
      </c>
      <c r="F87" s="100"/>
      <c r="G87" s="100"/>
      <c r="H87" s="100">
        <f>(MIN($K9*(G45-H45),$F$37-SUM($G$84:G$88)))</f>
        <v>0</v>
      </c>
      <c r="I87" s="100">
        <f>(MIN($K9*(H45-I45),$F$37-SUM($G$84:H$88)))</f>
        <v>0</v>
      </c>
      <c r="J87" s="100">
        <f>(MIN($K9*(I45-J45),$F$37-SUM($G$84:I$88)))</f>
        <v>0</v>
      </c>
      <c r="K87" s="100">
        <f>(MIN($K9*(J45-K45),$F$37-SUM($G$84:J$88)))</f>
        <v>0</v>
      </c>
      <c r="L87" s="100">
        <f>(MIN($K9*(K45-L45),$F$37-SUM($G$84:K$88)))</f>
        <v>0</v>
      </c>
      <c r="M87" s="100">
        <f>(MIN($K9*(L45-M45),$F$37-SUM($G$84:L$88)))</f>
        <v>0</v>
      </c>
      <c r="N87" s="100">
        <f>(MIN($K9*(M45-N45),$F$37-SUM($G$84:M$88)))</f>
        <v>13843162.670123136</v>
      </c>
      <c r="O87" s="100">
        <f>(MIN($K9*(N45-O45),$F$37-SUM($G$84:N$88)))</f>
        <v>0</v>
      </c>
      <c r="P87" s="100">
        <f>(MIN($K9*(O45-P45),$F$37-SUM($G$84:O$88)))</f>
        <v>0</v>
      </c>
      <c r="Q87" s="100">
        <f>(MIN($K9*(P45-Q45),$F$37-SUM($G$84:P$88)))</f>
        <v>0</v>
      </c>
      <c r="R87" s="162">
        <f>(MIN($K9*(Q45-R45),$F$37-SUM($G$84:Q$88)))</f>
        <v>0</v>
      </c>
      <c r="S87" s="115">
        <f>SUM(F87:R87)</f>
        <v>13843162.670123136</v>
      </c>
      <c r="T87" s="103"/>
      <c r="U87" s="103"/>
    </row>
    <row r="88" spans="2:21" s="102" customFormat="1" ht="15" x14ac:dyDescent="0.25">
      <c r="B88" s="215" t="s">
        <v>59</v>
      </c>
      <c r="C88" s="215" t="s">
        <v>259</v>
      </c>
      <c r="D88" s="248"/>
      <c r="E88" s="144" t="str">
        <f t="shared" si="43"/>
        <v>Immobile 5</v>
      </c>
      <c r="F88" s="126"/>
      <c r="G88" s="126"/>
      <c r="H88" s="126">
        <f>(MIN($K10*(G46-H46),$F$37-SUM($G$84:G$88)))</f>
        <v>0</v>
      </c>
      <c r="I88" s="126">
        <f>(MIN($K10*(H46-I46),$F$37-SUM($G$84:H$88)))</f>
        <v>0</v>
      </c>
      <c r="J88" s="126">
        <f>(MIN($K10*(I46-J46),$F$37-SUM($G$84:I$88)))</f>
        <v>0</v>
      </c>
      <c r="K88" s="126">
        <f>(MIN($K10*(J46-K46),$F$37-SUM($G$84:J$88)))</f>
        <v>0</v>
      </c>
      <c r="L88" s="126">
        <f>(MIN($K10*(K46-L46),$F$37-SUM($G$84:K$88)))</f>
        <v>0</v>
      </c>
      <c r="M88" s="126">
        <f>(MIN($K10*(L46-M46),$F$37-SUM($G$84:L$88)))</f>
        <v>0</v>
      </c>
      <c r="N88" s="126">
        <f>(MIN($K10*(M46-N46),$F$37-SUM($G$84:M$88)))</f>
        <v>0</v>
      </c>
      <c r="O88" s="126">
        <f>(MIN($K10*(N46-O46),$F$37-SUM($G$84:N$88)))</f>
        <v>0</v>
      </c>
      <c r="P88" s="126">
        <f>(MIN($K10*(O46-P46),$F$37-SUM($G$84:O$88)))</f>
        <v>1699287.1030460149</v>
      </c>
      <c r="Q88" s="126">
        <f>(MIN($K10*(P46-Q46),$F$37-SUM($G$84:P$88)))</f>
        <v>0</v>
      </c>
      <c r="R88" s="163">
        <f>(MIN($K10*(Q46-R46),$F$37-SUM($G$84:Q$88)))</f>
        <v>0</v>
      </c>
      <c r="S88" s="130">
        <f>SUM(F88:R88)</f>
        <v>1699287.1030460149</v>
      </c>
      <c r="T88" s="103"/>
      <c r="U88" s="103"/>
    </row>
    <row r="89" spans="2:21" s="102" customFormat="1" ht="15" x14ac:dyDescent="0.25">
      <c r="B89" s="196" t="s">
        <v>23</v>
      </c>
      <c r="C89" s="196" t="s">
        <v>374</v>
      </c>
      <c r="D89" s="248"/>
      <c r="E89" s="102" t="str">
        <f t="shared" si="43"/>
        <v>Rimborso</v>
      </c>
      <c r="F89" s="103"/>
      <c r="G89" s="103"/>
      <c r="H89" s="103">
        <f t="shared" ref="H89:R89" si="44">SUM(H84:H88)</f>
        <v>0</v>
      </c>
      <c r="I89" s="103">
        <f t="shared" si="44"/>
        <v>0</v>
      </c>
      <c r="J89" s="103">
        <f t="shared" si="44"/>
        <v>4627349.3195074527</v>
      </c>
      <c r="K89" s="103">
        <f t="shared" si="44"/>
        <v>0</v>
      </c>
      <c r="L89" s="103">
        <f t="shared" si="44"/>
        <v>6952689.5657809461</v>
      </c>
      <c r="M89" s="103">
        <f t="shared" si="44"/>
        <v>2877511.3415424493</v>
      </c>
      <c r="N89" s="103">
        <f t="shared" si="44"/>
        <v>13843162.670123136</v>
      </c>
      <c r="O89" s="103">
        <f t="shared" si="44"/>
        <v>0</v>
      </c>
      <c r="P89" s="103">
        <f t="shared" si="44"/>
        <v>1699287.1030460149</v>
      </c>
      <c r="Q89" s="103">
        <f t="shared" si="44"/>
        <v>0</v>
      </c>
      <c r="R89" s="164">
        <f t="shared" si="44"/>
        <v>0</v>
      </c>
      <c r="S89" s="107">
        <f>SUM(S84:S88)</f>
        <v>30000000</v>
      </c>
      <c r="T89" s="103"/>
      <c r="U89" s="103"/>
    </row>
    <row r="90" spans="2:21" s="102" customFormat="1" ht="15" x14ac:dyDescent="0.25">
      <c r="F90" s="103"/>
      <c r="G90" s="103"/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7"/>
      <c r="T90" s="103"/>
      <c r="U90" s="103"/>
    </row>
    <row r="91" spans="2:21" ht="15.75" thickBot="1" x14ac:dyDescent="0.3">
      <c r="B91" s="217" t="s">
        <v>44</v>
      </c>
      <c r="C91" s="217" t="s">
        <v>296</v>
      </c>
      <c r="D91" s="248" t="s">
        <v>249</v>
      </c>
      <c r="E91" s="146" t="str">
        <f t="shared" ref="E91:E99" si="45">IF($A$1=1,B91,C91)</f>
        <v>Linea A1</v>
      </c>
      <c r="F91" s="204">
        <v>0</v>
      </c>
      <c r="G91" s="204">
        <v>1</v>
      </c>
      <c r="H91" s="204">
        <v>2</v>
      </c>
      <c r="I91" s="204">
        <v>3</v>
      </c>
      <c r="J91" s="204">
        <v>4</v>
      </c>
      <c r="K91" s="204">
        <v>5</v>
      </c>
      <c r="L91" s="204">
        <v>6</v>
      </c>
      <c r="M91" s="204">
        <v>7</v>
      </c>
      <c r="N91" s="204">
        <v>8</v>
      </c>
      <c r="O91" s="204">
        <v>9</v>
      </c>
      <c r="P91" s="204">
        <v>10</v>
      </c>
      <c r="Q91" s="204">
        <v>11</v>
      </c>
      <c r="R91" s="226">
        <v>12</v>
      </c>
      <c r="S91" s="204" t="s">
        <v>368</v>
      </c>
    </row>
    <row r="92" spans="2:21" ht="15.75" thickTop="1" x14ac:dyDescent="0.25">
      <c r="B92" s="192" t="s">
        <v>162</v>
      </c>
      <c r="C92" s="192" t="s">
        <v>233</v>
      </c>
      <c r="D92" s="248"/>
      <c r="E92" s="114" t="str">
        <f t="shared" si="45"/>
        <v>Finanziamento Iniziale</v>
      </c>
      <c r="F92" s="100"/>
      <c r="G92" s="115">
        <f>F97</f>
        <v>0</v>
      </c>
      <c r="H92" s="115">
        <f t="shared" ref="H92:R92" si="46">G97</f>
        <v>10000000</v>
      </c>
      <c r="I92" s="115">
        <f t="shared" si="46"/>
        <v>10000000</v>
      </c>
      <c r="J92" s="115">
        <f t="shared" si="46"/>
        <v>10000000</v>
      </c>
      <c r="K92" s="115">
        <f t="shared" si="46"/>
        <v>10000000</v>
      </c>
      <c r="L92" s="115">
        <f t="shared" si="46"/>
        <v>10000000</v>
      </c>
      <c r="M92" s="115">
        <f t="shared" si="46"/>
        <v>10000000</v>
      </c>
      <c r="N92" s="115">
        <f t="shared" si="46"/>
        <v>10000000</v>
      </c>
      <c r="O92" s="115">
        <f t="shared" si="46"/>
        <v>1699287.1030460168</v>
      </c>
      <c r="P92" s="115">
        <f t="shared" si="46"/>
        <v>1699287.1030460168</v>
      </c>
      <c r="Q92" s="115">
        <f t="shared" si="46"/>
        <v>1.862645149230957E-9</v>
      </c>
      <c r="R92" s="159">
        <f t="shared" si="46"/>
        <v>1.862645149230957E-9</v>
      </c>
      <c r="S92" s="115"/>
    </row>
    <row r="93" spans="2:21" ht="15" x14ac:dyDescent="0.25">
      <c r="B93" s="191" t="s">
        <v>1</v>
      </c>
      <c r="C93" s="191" t="s">
        <v>234</v>
      </c>
      <c r="D93" s="248"/>
      <c r="E93" s="99" t="str">
        <f t="shared" si="45"/>
        <v>Erogazione</v>
      </c>
      <c r="F93" s="100"/>
      <c r="G93" s="100">
        <f>F22</f>
        <v>10000000</v>
      </c>
      <c r="R93" s="162"/>
      <c r="S93" s="115">
        <f>SUM(F93:R93)</f>
        <v>10000000</v>
      </c>
    </row>
    <row r="94" spans="2:21" ht="15" x14ac:dyDescent="0.25">
      <c r="B94" s="191" t="s">
        <v>22</v>
      </c>
      <c r="C94" s="191" t="s">
        <v>22</v>
      </c>
      <c r="D94" s="248"/>
      <c r="E94" s="99" t="str">
        <f t="shared" si="45"/>
        <v>Arrangement fee</v>
      </c>
      <c r="F94" s="100"/>
      <c r="G94" s="100">
        <f>-G93*$F$32</f>
        <v>-120000</v>
      </c>
      <c r="H94" s="100">
        <f>-H93*$F$32</f>
        <v>0</v>
      </c>
      <c r="I94" s="100">
        <f>-I93*$F$32</f>
        <v>0</v>
      </c>
      <c r="J94" s="100">
        <f t="shared" ref="J94:R94" si="47">-J93*$F$32</f>
        <v>0</v>
      </c>
      <c r="K94" s="100">
        <f t="shared" si="47"/>
        <v>0</v>
      </c>
      <c r="L94" s="100">
        <f t="shared" si="47"/>
        <v>0</v>
      </c>
      <c r="M94" s="100">
        <f t="shared" si="47"/>
        <v>0</v>
      </c>
      <c r="N94" s="100">
        <f t="shared" si="47"/>
        <v>0</v>
      </c>
      <c r="O94" s="100">
        <f t="shared" si="47"/>
        <v>0</v>
      </c>
      <c r="P94" s="100">
        <f t="shared" si="47"/>
        <v>0</v>
      </c>
      <c r="Q94" s="100">
        <f t="shared" si="47"/>
        <v>0</v>
      </c>
      <c r="R94" s="162">
        <f t="shared" si="47"/>
        <v>0</v>
      </c>
      <c r="S94" s="115">
        <f>SUM(F94:R94)</f>
        <v>-120000</v>
      </c>
    </row>
    <row r="95" spans="2:21" ht="15" x14ac:dyDescent="0.25">
      <c r="B95" s="191" t="s">
        <v>125</v>
      </c>
      <c r="C95" s="191" t="s">
        <v>304</v>
      </c>
      <c r="D95" s="248"/>
      <c r="E95" s="99" t="str">
        <f t="shared" si="45"/>
        <v>Imposta sostitutiva</v>
      </c>
      <c r="F95" s="100"/>
      <c r="G95" s="100">
        <f>-$F$34*G93</f>
        <v>-25000</v>
      </c>
      <c r="H95" s="100">
        <f t="shared" ref="H95:R95" si="48">-$F$34*H93</f>
        <v>0</v>
      </c>
      <c r="I95" s="100">
        <f t="shared" si="48"/>
        <v>0</v>
      </c>
      <c r="J95" s="100">
        <f t="shared" si="48"/>
        <v>0</v>
      </c>
      <c r="K95" s="100">
        <f t="shared" si="48"/>
        <v>0</v>
      </c>
      <c r="L95" s="100">
        <f t="shared" si="48"/>
        <v>0</v>
      </c>
      <c r="M95" s="100">
        <f t="shared" si="48"/>
        <v>0</v>
      </c>
      <c r="N95" s="100">
        <f t="shared" si="48"/>
        <v>0</v>
      </c>
      <c r="O95" s="100">
        <f t="shared" si="48"/>
        <v>0</v>
      </c>
      <c r="P95" s="100">
        <f t="shared" si="48"/>
        <v>0</v>
      </c>
      <c r="Q95" s="100">
        <f t="shared" si="48"/>
        <v>0</v>
      </c>
      <c r="R95" s="162">
        <f t="shared" si="48"/>
        <v>0</v>
      </c>
      <c r="S95" s="115">
        <f>SUM(F95:R95)</f>
        <v>-25000</v>
      </c>
    </row>
    <row r="96" spans="2:21" ht="15" x14ac:dyDescent="0.25">
      <c r="B96" s="191" t="s">
        <v>23</v>
      </c>
      <c r="C96" s="191" t="s">
        <v>235</v>
      </c>
      <c r="D96" s="248"/>
      <c r="E96" s="99" t="str">
        <f t="shared" si="45"/>
        <v>Rimborso</v>
      </c>
      <c r="F96" s="100"/>
      <c r="G96" s="100"/>
      <c r="H96" s="100">
        <f t="shared" ref="H96:R96" si="49">-MIN(H92,H61,SUM(H84:H88)+H116+H106)</f>
        <v>0</v>
      </c>
      <c r="I96" s="100">
        <f t="shared" si="49"/>
        <v>0</v>
      </c>
      <c r="J96" s="100">
        <f t="shared" si="49"/>
        <v>0</v>
      </c>
      <c r="K96" s="100">
        <f t="shared" si="49"/>
        <v>0</v>
      </c>
      <c r="L96" s="100">
        <f t="shared" si="49"/>
        <v>0</v>
      </c>
      <c r="M96" s="100">
        <f t="shared" si="49"/>
        <v>0</v>
      </c>
      <c r="N96" s="100">
        <f t="shared" si="49"/>
        <v>-8300712.8969539832</v>
      </c>
      <c r="O96" s="100">
        <f t="shared" si="49"/>
        <v>0</v>
      </c>
      <c r="P96" s="100">
        <f t="shared" si="49"/>
        <v>-1699287.1030460149</v>
      </c>
      <c r="Q96" s="100">
        <f t="shared" si="49"/>
        <v>0</v>
      </c>
      <c r="R96" s="162">
        <f t="shared" si="49"/>
        <v>0</v>
      </c>
      <c r="S96" s="115">
        <f>SUM(F96:R96)</f>
        <v>-9999999.9999999981</v>
      </c>
    </row>
    <row r="97" spans="2:21" ht="15" x14ac:dyDescent="0.25">
      <c r="B97" s="192" t="s">
        <v>163</v>
      </c>
      <c r="C97" s="191" t="s">
        <v>374</v>
      </c>
      <c r="D97" s="248"/>
      <c r="E97" s="114" t="str">
        <f t="shared" si="45"/>
        <v>Finanziamento Finale</v>
      </c>
      <c r="F97" s="115">
        <f t="shared" ref="F97:R97" si="50">F92+F93+F96</f>
        <v>0</v>
      </c>
      <c r="G97" s="115">
        <f t="shared" si="50"/>
        <v>10000000</v>
      </c>
      <c r="H97" s="115">
        <f t="shared" si="50"/>
        <v>10000000</v>
      </c>
      <c r="I97" s="115">
        <f t="shared" si="50"/>
        <v>10000000</v>
      </c>
      <c r="J97" s="115">
        <f t="shared" si="50"/>
        <v>10000000</v>
      </c>
      <c r="K97" s="115">
        <f t="shared" si="50"/>
        <v>10000000</v>
      </c>
      <c r="L97" s="115">
        <f t="shared" si="50"/>
        <v>10000000</v>
      </c>
      <c r="M97" s="115">
        <f t="shared" si="50"/>
        <v>10000000</v>
      </c>
      <c r="N97" s="115">
        <f t="shared" si="50"/>
        <v>1699287.1030460168</v>
      </c>
      <c r="O97" s="115">
        <f t="shared" si="50"/>
        <v>1699287.1030460168</v>
      </c>
      <c r="P97" s="115">
        <f t="shared" si="50"/>
        <v>1.862645149230957E-9</v>
      </c>
      <c r="Q97" s="115">
        <f t="shared" si="50"/>
        <v>1.862645149230957E-9</v>
      </c>
      <c r="R97" s="159">
        <f t="shared" si="50"/>
        <v>1.862645149230957E-9</v>
      </c>
      <c r="S97" s="115"/>
    </row>
    <row r="98" spans="2:21" ht="15" x14ac:dyDescent="0.25">
      <c r="B98" s="215" t="s">
        <v>24</v>
      </c>
      <c r="C98" s="192" t="s">
        <v>236</v>
      </c>
      <c r="D98" s="248"/>
      <c r="E98" s="144" t="str">
        <f t="shared" si="45"/>
        <v>Interessi</v>
      </c>
      <c r="F98" s="126"/>
      <c r="G98" s="126">
        <f>-G97*$F$28</f>
        <v>-112500</v>
      </c>
      <c r="H98" s="126">
        <f t="shared" ref="H98:R98" si="51">-H97*$F$28</f>
        <v>-112500</v>
      </c>
      <c r="I98" s="126">
        <f t="shared" si="51"/>
        <v>-112500</v>
      </c>
      <c r="J98" s="126">
        <f t="shared" si="51"/>
        <v>-112500</v>
      </c>
      <c r="K98" s="126">
        <f t="shared" si="51"/>
        <v>-112500</v>
      </c>
      <c r="L98" s="126">
        <f t="shared" si="51"/>
        <v>-112500</v>
      </c>
      <c r="M98" s="126">
        <f t="shared" si="51"/>
        <v>-112500</v>
      </c>
      <c r="N98" s="126">
        <f t="shared" si="51"/>
        <v>-19116.979909267688</v>
      </c>
      <c r="O98" s="126">
        <f t="shared" si="51"/>
        <v>-19116.979909267688</v>
      </c>
      <c r="P98" s="126">
        <f t="shared" si="51"/>
        <v>-2.0954757928848266E-11</v>
      </c>
      <c r="Q98" s="126">
        <f t="shared" si="51"/>
        <v>-2.0954757928848266E-11</v>
      </c>
      <c r="R98" s="163">
        <f t="shared" si="51"/>
        <v>-2.0954757928848266E-11</v>
      </c>
      <c r="S98" s="130">
        <f>SUM(F98:R98)</f>
        <v>-825733.95981853548</v>
      </c>
    </row>
    <row r="99" spans="2:21" s="102" customFormat="1" ht="15" x14ac:dyDescent="0.25">
      <c r="B99" s="196" t="s">
        <v>71</v>
      </c>
      <c r="C99" s="196" t="s">
        <v>297</v>
      </c>
      <c r="D99" s="248"/>
      <c r="E99" s="102" t="str">
        <f t="shared" si="45"/>
        <v>Flusso Linea A1</v>
      </c>
      <c r="F99" s="103">
        <f>F93+F94+F96+F98</f>
        <v>0</v>
      </c>
      <c r="G99" s="103">
        <f>G93+G94+G96+G98+G95</f>
        <v>9742500</v>
      </c>
      <c r="H99" s="103">
        <f t="shared" ref="H99:R99" si="52">H93+H94+H96+H98+H95</f>
        <v>-112500</v>
      </c>
      <c r="I99" s="103">
        <f t="shared" si="52"/>
        <v>-112500</v>
      </c>
      <c r="J99" s="103">
        <f t="shared" si="52"/>
        <v>-112500</v>
      </c>
      <c r="K99" s="103">
        <f t="shared" si="52"/>
        <v>-112500</v>
      </c>
      <c r="L99" s="103">
        <f t="shared" si="52"/>
        <v>-112500</v>
      </c>
      <c r="M99" s="103">
        <f t="shared" si="52"/>
        <v>-112500</v>
      </c>
      <c r="N99" s="103">
        <f t="shared" si="52"/>
        <v>-8319829.8768632505</v>
      </c>
      <c r="O99" s="103">
        <f t="shared" si="52"/>
        <v>-19116.979909267688</v>
      </c>
      <c r="P99" s="103">
        <f t="shared" si="52"/>
        <v>-1699287.1030460149</v>
      </c>
      <c r="Q99" s="103">
        <f t="shared" si="52"/>
        <v>-2.0954757928848266E-11</v>
      </c>
      <c r="R99" s="164">
        <f t="shared" si="52"/>
        <v>-2.0954757928848266E-11</v>
      </c>
      <c r="S99" s="115">
        <f>SUM(F99:R99)</f>
        <v>-970733.95981853316</v>
      </c>
      <c r="T99" s="103"/>
      <c r="U99" s="103"/>
    </row>
    <row r="100" spans="2:21" ht="15" x14ac:dyDescent="0.25">
      <c r="D100" s="248"/>
      <c r="F100" s="100"/>
      <c r="G100" s="100"/>
    </row>
    <row r="101" spans="2:21" ht="15.75" thickBot="1" x14ac:dyDescent="0.3">
      <c r="B101" s="217" t="s">
        <v>45</v>
      </c>
      <c r="C101" s="217" t="s">
        <v>298</v>
      </c>
      <c r="D101" s="248"/>
      <c r="E101" s="146" t="str">
        <f t="shared" ref="E101:E109" si="53">IF($A$1=1,B101,C101)</f>
        <v>Linea A2</v>
      </c>
      <c r="F101" s="204">
        <v>0</v>
      </c>
      <c r="G101" s="204">
        <v>1</v>
      </c>
      <c r="H101" s="204">
        <v>2</v>
      </c>
      <c r="I101" s="204">
        <v>3</v>
      </c>
      <c r="J101" s="204">
        <v>4</v>
      </c>
      <c r="K101" s="204">
        <v>5</v>
      </c>
      <c r="L101" s="204">
        <v>6</v>
      </c>
      <c r="M101" s="204">
        <v>7</v>
      </c>
      <c r="N101" s="204">
        <v>8</v>
      </c>
      <c r="O101" s="204">
        <v>9</v>
      </c>
      <c r="P101" s="204">
        <v>10</v>
      </c>
      <c r="Q101" s="204">
        <v>11</v>
      </c>
      <c r="R101" s="226">
        <v>12</v>
      </c>
      <c r="S101" s="204" t="s">
        <v>368</v>
      </c>
    </row>
    <row r="102" spans="2:21" ht="15.75" thickTop="1" x14ac:dyDescent="0.25">
      <c r="B102" s="192" t="s">
        <v>162</v>
      </c>
      <c r="C102" s="192" t="s">
        <v>233</v>
      </c>
      <c r="D102" s="248"/>
      <c r="E102" s="114" t="str">
        <f t="shared" si="53"/>
        <v>Finanziamento Iniziale</v>
      </c>
      <c r="F102" s="100"/>
      <c r="G102" s="115">
        <f t="shared" ref="G102:R102" si="54">F107</f>
        <v>0</v>
      </c>
      <c r="H102" s="115">
        <f>G107</f>
        <v>10000000</v>
      </c>
      <c r="I102" s="115">
        <f t="shared" si="54"/>
        <v>10000000</v>
      </c>
      <c r="J102" s="115">
        <f t="shared" si="54"/>
        <v>10000000</v>
      </c>
      <c r="K102" s="115">
        <f t="shared" si="54"/>
        <v>10000000</v>
      </c>
      <c r="L102" s="115">
        <f t="shared" si="54"/>
        <v>10000000</v>
      </c>
      <c r="M102" s="115">
        <f t="shared" si="54"/>
        <v>8419961.1147116013</v>
      </c>
      <c r="N102" s="115">
        <f t="shared" si="54"/>
        <v>5542449.7731691524</v>
      </c>
      <c r="O102" s="115">
        <f t="shared" si="54"/>
        <v>0</v>
      </c>
      <c r="P102" s="115">
        <f t="shared" si="54"/>
        <v>0</v>
      </c>
      <c r="Q102" s="115">
        <f t="shared" si="54"/>
        <v>0</v>
      </c>
      <c r="R102" s="159">
        <f t="shared" si="54"/>
        <v>0</v>
      </c>
      <c r="S102" s="115"/>
    </row>
    <row r="103" spans="2:21" ht="15" x14ac:dyDescent="0.25">
      <c r="B103" s="191" t="s">
        <v>1</v>
      </c>
      <c r="C103" s="191" t="s">
        <v>234</v>
      </c>
      <c r="D103" s="248"/>
      <c r="E103" s="99" t="str">
        <f t="shared" si="53"/>
        <v>Erogazione</v>
      </c>
      <c r="F103" s="100"/>
      <c r="G103" s="100">
        <f>G22</f>
        <v>10000000</v>
      </c>
      <c r="R103" s="162"/>
      <c r="S103" s="115">
        <f>SUM(F103:R103)</f>
        <v>10000000</v>
      </c>
    </row>
    <row r="104" spans="2:21" ht="15" x14ac:dyDescent="0.25">
      <c r="B104" s="191" t="s">
        <v>22</v>
      </c>
      <c r="C104" s="191" t="s">
        <v>22</v>
      </c>
      <c r="D104" s="248"/>
      <c r="E104" s="99" t="str">
        <f t="shared" si="53"/>
        <v>Arrangement fee</v>
      </c>
      <c r="F104" s="100"/>
      <c r="G104" s="100">
        <f>-G103*$F$32</f>
        <v>-120000</v>
      </c>
      <c r="H104" s="100">
        <f>-H103*$F$32</f>
        <v>0</v>
      </c>
      <c r="I104" s="100">
        <f>-I103*$F$32</f>
        <v>0</v>
      </c>
      <c r="J104" s="100">
        <f t="shared" ref="J104:R104" si="55">-J103*$F$32</f>
        <v>0</v>
      </c>
      <c r="K104" s="100">
        <f t="shared" si="55"/>
        <v>0</v>
      </c>
      <c r="L104" s="100">
        <f t="shared" si="55"/>
        <v>0</v>
      </c>
      <c r="M104" s="100">
        <f t="shared" si="55"/>
        <v>0</v>
      </c>
      <c r="N104" s="100">
        <f t="shared" si="55"/>
        <v>0</v>
      </c>
      <c r="O104" s="100">
        <f t="shared" si="55"/>
        <v>0</v>
      </c>
      <c r="P104" s="100">
        <f t="shared" si="55"/>
        <v>0</v>
      </c>
      <c r="Q104" s="100">
        <f t="shared" si="55"/>
        <v>0</v>
      </c>
      <c r="R104" s="162">
        <f t="shared" si="55"/>
        <v>0</v>
      </c>
      <c r="S104" s="115">
        <f>SUM(F104:R104)</f>
        <v>-120000</v>
      </c>
    </row>
    <row r="105" spans="2:21" ht="15" x14ac:dyDescent="0.25">
      <c r="B105" s="191" t="s">
        <v>125</v>
      </c>
      <c r="C105" s="191" t="s">
        <v>304</v>
      </c>
      <c r="D105" s="248"/>
      <c r="E105" s="99" t="str">
        <f t="shared" si="53"/>
        <v>Imposta sostitutiva</v>
      </c>
      <c r="F105" s="100"/>
      <c r="G105" s="100">
        <f>-$F$34*G103</f>
        <v>-25000</v>
      </c>
      <c r="H105" s="100">
        <f t="shared" ref="H105:R105" si="56">-$F$34*H103</f>
        <v>0</v>
      </c>
      <c r="I105" s="100">
        <f t="shared" si="56"/>
        <v>0</v>
      </c>
      <c r="J105" s="100">
        <f t="shared" si="56"/>
        <v>0</v>
      </c>
      <c r="K105" s="100">
        <f t="shared" si="56"/>
        <v>0</v>
      </c>
      <c r="L105" s="100">
        <f t="shared" si="56"/>
        <v>0</v>
      </c>
      <c r="M105" s="100">
        <f t="shared" si="56"/>
        <v>0</v>
      </c>
      <c r="N105" s="100">
        <f t="shared" si="56"/>
        <v>0</v>
      </c>
      <c r="O105" s="100">
        <f t="shared" si="56"/>
        <v>0</v>
      </c>
      <c r="P105" s="100">
        <f t="shared" si="56"/>
        <v>0</v>
      </c>
      <c r="Q105" s="100">
        <f t="shared" si="56"/>
        <v>0</v>
      </c>
      <c r="R105" s="162">
        <f t="shared" si="56"/>
        <v>0</v>
      </c>
      <c r="S105" s="115">
        <f>SUM(F105:R105)</f>
        <v>-25000</v>
      </c>
    </row>
    <row r="106" spans="2:21" ht="15" x14ac:dyDescent="0.25">
      <c r="B106" s="191" t="s">
        <v>23</v>
      </c>
      <c r="C106" s="191" t="s">
        <v>235</v>
      </c>
      <c r="D106" s="248"/>
      <c r="E106" s="99" t="str">
        <f t="shared" si="53"/>
        <v>Rimborso</v>
      </c>
      <c r="F106" s="100"/>
      <c r="G106" s="100"/>
      <c r="H106" s="100">
        <f t="shared" ref="H106:R106" si="57">-MIN(H102,H61,SUM(H84:H88)+H116)</f>
        <v>0</v>
      </c>
      <c r="I106" s="100">
        <f t="shared" si="57"/>
        <v>0</v>
      </c>
      <c r="J106" s="100">
        <f t="shared" si="57"/>
        <v>0</v>
      </c>
      <c r="K106" s="100">
        <f t="shared" si="57"/>
        <v>0</v>
      </c>
      <c r="L106" s="100">
        <f t="shared" si="57"/>
        <v>-1580038.8852883987</v>
      </c>
      <c r="M106" s="100">
        <f t="shared" si="57"/>
        <v>-2877511.3415424493</v>
      </c>
      <c r="N106" s="100">
        <f t="shared" si="57"/>
        <v>-5542449.7731691524</v>
      </c>
      <c r="O106" s="100">
        <f t="shared" si="57"/>
        <v>0</v>
      </c>
      <c r="P106" s="100">
        <f t="shared" si="57"/>
        <v>0</v>
      </c>
      <c r="Q106" s="100">
        <f t="shared" si="57"/>
        <v>0</v>
      </c>
      <c r="R106" s="162">
        <f t="shared" si="57"/>
        <v>0</v>
      </c>
      <c r="S106" s="115">
        <f>SUM(F106:R106)</f>
        <v>-10000000</v>
      </c>
    </row>
    <row r="107" spans="2:21" ht="15" x14ac:dyDescent="0.25">
      <c r="B107" s="192" t="s">
        <v>163</v>
      </c>
      <c r="C107" s="191" t="s">
        <v>374</v>
      </c>
      <c r="D107" s="248"/>
      <c r="E107" s="114" t="str">
        <f t="shared" si="53"/>
        <v>Finanziamento Finale</v>
      </c>
      <c r="F107" s="115">
        <f t="shared" ref="F107:R107" si="58">F102+F103+F106</f>
        <v>0</v>
      </c>
      <c r="G107" s="115">
        <f t="shared" si="58"/>
        <v>10000000</v>
      </c>
      <c r="H107" s="115">
        <f t="shared" si="58"/>
        <v>10000000</v>
      </c>
      <c r="I107" s="115">
        <f t="shared" si="58"/>
        <v>10000000</v>
      </c>
      <c r="J107" s="115">
        <f t="shared" si="58"/>
        <v>10000000</v>
      </c>
      <c r="K107" s="115">
        <f t="shared" si="58"/>
        <v>10000000</v>
      </c>
      <c r="L107" s="115">
        <f t="shared" si="58"/>
        <v>8419961.1147116013</v>
      </c>
      <c r="M107" s="115">
        <f t="shared" si="58"/>
        <v>5542449.7731691524</v>
      </c>
      <c r="N107" s="115">
        <f t="shared" si="58"/>
        <v>0</v>
      </c>
      <c r="O107" s="115">
        <f t="shared" si="58"/>
        <v>0</v>
      </c>
      <c r="P107" s="115">
        <f t="shared" si="58"/>
        <v>0</v>
      </c>
      <c r="Q107" s="115">
        <f t="shared" si="58"/>
        <v>0</v>
      </c>
      <c r="R107" s="159">
        <f t="shared" si="58"/>
        <v>0</v>
      </c>
      <c r="S107" s="115"/>
    </row>
    <row r="108" spans="2:21" ht="15" x14ac:dyDescent="0.25">
      <c r="B108" s="215" t="s">
        <v>24</v>
      </c>
      <c r="C108" s="192" t="s">
        <v>236</v>
      </c>
      <c r="D108" s="248"/>
      <c r="E108" s="144" t="str">
        <f t="shared" si="53"/>
        <v>Interessi</v>
      </c>
      <c r="F108" s="126"/>
      <c r="G108" s="126">
        <f t="shared" ref="G108:R108" si="59">-G107*$G$28</f>
        <v>-125000</v>
      </c>
      <c r="H108" s="126">
        <f t="shared" si="59"/>
        <v>-125000</v>
      </c>
      <c r="I108" s="126">
        <f t="shared" si="59"/>
        <v>-125000</v>
      </c>
      <c r="J108" s="126">
        <f t="shared" si="59"/>
        <v>-125000</v>
      </c>
      <c r="K108" s="126">
        <f t="shared" si="59"/>
        <v>-125000</v>
      </c>
      <c r="L108" s="126">
        <f t="shared" si="59"/>
        <v>-105249.51393389502</v>
      </c>
      <c r="M108" s="126">
        <f t="shared" si="59"/>
        <v>-69280.622164614411</v>
      </c>
      <c r="N108" s="126">
        <f t="shared" si="59"/>
        <v>0</v>
      </c>
      <c r="O108" s="126">
        <f t="shared" si="59"/>
        <v>0</v>
      </c>
      <c r="P108" s="126">
        <f t="shared" si="59"/>
        <v>0</v>
      </c>
      <c r="Q108" s="126">
        <f t="shared" si="59"/>
        <v>0</v>
      </c>
      <c r="R108" s="163">
        <f t="shared" si="59"/>
        <v>0</v>
      </c>
      <c r="S108" s="130">
        <f>SUM(F108:R108)</f>
        <v>-799530.13609850942</v>
      </c>
    </row>
    <row r="109" spans="2:21" s="102" customFormat="1" ht="15" x14ac:dyDescent="0.25">
      <c r="B109" s="196" t="s">
        <v>72</v>
      </c>
      <c r="C109" s="196" t="s">
        <v>299</v>
      </c>
      <c r="D109" s="248"/>
      <c r="E109" s="102" t="str">
        <f t="shared" si="53"/>
        <v>Flusso Linea A2</v>
      </c>
      <c r="F109" s="103">
        <f>F103+F104+F106+F108</f>
        <v>0</v>
      </c>
      <c r="G109" s="103">
        <f>G103+G104+G106+G108+G105</f>
        <v>9730000</v>
      </c>
      <c r="H109" s="103">
        <f t="shared" ref="H109:R109" si="60">H103+H104+H106+H108+H105</f>
        <v>-125000</v>
      </c>
      <c r="I109" s="103">
        <f t="shared" si="60"/>
        <v>-125000</v>
      </c>
      <c r="J109" s="103">
        <f t="shared" si="60"/>
        <v>-125000</v>
      </c>
      <c r="K109" s="103">
        <f t="shared" si="60"/>
        <v>-125000</v>
      </c>
      <c r="L109" s="103">
        <f t="shared" si="60"/>
        <v>-1685288.3992222936</v>
      </c>
      <c r="M109" s="103">
        <f t="shared" si="60"/>
        <v>-2946791.9637070638</v>
      </c>
      <c r="N109" s="103">
        <f t="shared" si="60"/>
        <v>-5542449.7731691524</v>
      </c>
      <c r="O109" s="103">
        <f t="shared" si="60"/>
        <v>0</v>
      </c>
      <c r="P109" s="103">
        <f t="shared" si="60"/>
        <v>0</v>
      </c>
      <c r="Q109" s="103">
        <f t="shared" si="60"/>
        <v>0</v>
      </c>
      <c r="R109" s="164">
        <f t="shared" si="60"/>
        <v>0</v>
      </c>
      <c r="S109" s="115">
        <f>SUM(F109:R109)</f>
        <v>-944530.13609850965</v>
      </c>
      <c r="T109" s="103"/>
      <c r="U109" s="103"/>
    </row>
    <row r="110" spans="2:21" ht="15" x14ac:dyDescent="0.25">
      <c r="D110" s="248"/>
      <c r="F110" s="100"/>
      <c r="G110" s="100"/>
    </row>
    <row r="111" spans="2:21" ht="15.75" thickBot="1" x14ac:dyDescent="0.3">
      <c r="B111" s="217" t="s">
        <v>46</v>
      </c>
      <c r="C111" s="217" t="s">
        <v>300</v>
      </c>
      <c r="D111" s="248"/>
      <c r="E111" s="146" t="str">
        <f t="shared" ref="E111:E119" si="61">IF($A$1=1,B111,C111)</f>
        <v>Linea A3</v>
      </c>
      <c r="F111" s="204">
        <v>0</v>
      </c>
      <c r="G111" s="204">
        <v>1</v>
      </c>
      <c r="H111" s="204">
        <v>2</v>
      </c>
      <c r="I111" s="204">
        <v>3</v>
      </c>
      <c r="J111" s="204">
        <v>4</v>
      </c>
      <c r="K111" s="204">
        <v>5</v>
      </c>
      <c r="L111" s="204">
        <v>6</v>
      </c>
      <c r="M111" s="204">
        <v>7</v>
      </c>
      <c r="N111" s="204">
        <v>8</v>
      </c>
      <c r="O111" s="204">
        <v>9</v>
      </c>
      <c r="P111" s="204">
        <v>10</v>
      </c>
      <c r="Q111" s="204">
        <v>11</v>
      </c>
      <c r="R111" s="226">
        <v>12</v>
      </c>
      <c r="S111" s="204" t="s">
        <v>368</v>
      </c>
    </row>
    <row r="112" spans="2:21" ht="15.75" thickTop="1" x14ac:dyDescent="0.25">
      <c r="B112" s="192" t="s">
        <v>162</v>
      </c>
      <c r="C112" s="192" t="s">
        <v>233</v>
      </c>
      <c r="D112" s="248"/>
      <c r="E112" s="114" t="str">
        <f t="shared" si="61"/>
        <v>Finanziamento Iniziale</v>
      </c>
      <c r="F112" s="100"/>
      <c r="G112" s="115">
        <f>F117</f>
        <v>0</v>
      </c>
      <c r="H112" s="115">
        <f t="shared" ref="H112:R112" si="62">G117</f>
        <v>10000000</v>
      </c>
      <c r="I112" s="115">
        <f t="shared" si="62"/>
        <v>10000000</v>
      </c>
      <c r="J112" s="115">
        <f t="shared" si="62"/>
        <v>10000000</v>
      </c>
      <c r="K112" s="115">
        <f t="shared" si="62"/>
        <v>5372650.6804925473</v>
      </c>
      <c r="L112" s="115">
        <f t="shared" si="62"/>
        <v>5372650.6804925473</v>
      </c>
      <c r="M112" s="115">
        <f t="shared" si="62"/>
        <v>0</v>
      </c>
      <c r="N112" s="115">
        <f t="shared" si="62"/>
        <v>0</v>
      </c>
      <c r="O112" s="115">
        <f t="shared" si="62"/>
        <v>0</v>
      </c>
      <c r="P112" s="115">
        <f t="shared" si="62"/>
        <v>0</v>
      </c>
      <c r="Q112" s="115">
        <f t="shared" si="62"/>
        <v>0</v>
      </c>
      <c r="R112" s="159">
        <f t="shared" si="62"/>
        <v>0</v>
      </c>
      <c r="S112" s="115"/>
    </row>
    <row r="113" spans="2:21" ht="15" x14ac:dyDescent="0.25">
      <c r="B113" s="191" t="s">
        <v>1</v>
      </c>
      <c r="C113" s="191" t="s">
        <v>234</v>
      </c>
      <c r="D113" s="248"/>
      <c r="E113" s="99" t="str">
        <f t="shared" si="61"/>
        <v>Erogazione</v>
      </c>
      <c r="F113" s="100"/>
      <c r="G113" s="100">
        <f>H22</f>
        <v>10000000</v>
      </c>
      <c r="R113" s="162"/>
      <c r="S113" s="115">
        <f>SUM(F113:R113)</f>
        <v>10000000</v>
      </c>
    </row>
    <row r="114" spans="2:21" ht="15" x14ac:dyDescent="0.25">
      <c r="B114" s="191" t="s">
        <v>22</v>
      </c>
      <c r="C114" s="191" t="s">
        <v>22</v>
      </c>
      <c r="D114" s="248"/>
      <c r="E114" s="99" t="str">
        <f t="shared" si="61"/>
        <v>Arrangement fee</v>
      </c>
      <c r="F114" s="100"/>
      <c r="G114" s="100">
        <f>-G113*$F$32</f>
        <v>-120000</v>
      </c>
      <c r="H114" s="100">
        <f>-H113*$F$32</f>
        <v>0</v>
      </c>
      <c r="I114" s="100">
        <f>-I113*$F$32</f>
        <v>0</v>
      </c>
      <c r="J114" s="100">
        <f t="shared" ref="J114:R114" si="63">-J113*$F$32</f>
        <v>0</v>
      </c>
      <c r="K114" s="100">
        <f t="shared" si="63"/>
        <v>0</v>
      </c>
      <c r="L114" s="100">
        <f t="shared" si="63"/>
        <v>0</v>
      </c>
      <c r="M114" s="100">
        <f t="shared" si="63"/>
        <v>0</v>
      </c>
      <c r="N114" s="100">
        <f t="shared" si="63"/>
        <v>0</v>
      </c>
      <c r="O114" s="100">
        <f t="shared" si="63"/>
        <v>0</v>
      </c>
      <c r="P114" s="100">
        <f t="shared" si="63"/>
        <v>0</v>
      </c>
      <c r="Q114" s="100">
        <f t="shared" si="63"/>
        <v>0</v>
      </c>
      <c r="R114" s="162">
        <f t="shared" si="63"/>
        <v>0</v>
      </c>
      <c r="S114" s="115">
        <f>SUM(F114:R114)</f>
        <v>-120000</v>
      </c>
    </row>
    <row r="115" spans="2:21" ht="15" x14ac:dyDescent="0.25">
      <c r="B115" s="191" t="s">
        <v>125</v>
      </c>
      <c r="C115" s="191" t="s">
        <v>304</v>
      </c>
      <c r="D115" s="248"/>
      <c r="E115" s="99" t="str">
        <f t="shared" si="61"/>
        <v>Imposta sostitutiva</v>
      </c>
      <c r="F115" s="100"/>
      <c r="G115" s="100">
        <f t="shared" ref="G115:R115" si="64">-$F$34*G113</f>
        <v>-25000</v>
      </c>
      <c r="H115" s="100">
        <f t="shared" si="64"/>
        <v>0</v>
      </c>
      <c r="I115" s="100">
        <f t="shared" si="64"/>
        <v>0</v>
      </c>
      <c r="J115" s="100">
        <f t="shared" si="64"/>
        <v>0</v>
      </c>
      <c r="K115" s="100">
        <f t="shared" si="64"/>
        <v>0</v>
      </c>
      <c r="L115" s="100">
        <f t="shared" si="64"/>
        <v>0</v>
      </c>
      <c r="M115" s="100">
        <f t="shared" si="64"/>
        <v>0</v>
      </c>
      <c r="N115" s="100">
        <f t="shared" si="64"/>
        <v>0</v>
      </c>
      <c r="O115" s="100">
        <f t="shared" si="64"/>
        <v>0</v>
      </c>
      <c r="P115" s="100">
        <f t="shared" si="64"/>
        <v>0</v>
      </c>
      <c r="Q115" s="100">
        <f t="shared" si="64"/>
        <v>0</v>
      </c>
      <c r="R115" s="162">
        <f t="shared" si="64"/>
        <v>0</v>
      </c>
      <c r="S115" s="115">
        <f>SUM(F115:R115)</f>
        <v>-25000</v>
      </c>
    </row>
    <row r="116" spans="2:21" ht="15" x14ac:dyDescent="0.25">
      <c r="B116" s="191" t="s">
        <v>23</v>
      </c>
      <c r="C116" s="191" t="s">
        <v>235</v>
      </c>
      <c r="D116" s="248"/>
      <c r="E116" s="99" t="str">
        <f t="shared" si="61"/>
        <v>Rimborso</v>
      </c>
      <c r="F116" s="100"/>
      <c r="G116" s="100"/>
      <c r="H116" s="100">
        <f t="shared" ref="H116:R116" si="65">-MIN(H112,H61,SUM(H84:H88))</f>
        <v>0</v>
      </c>
      <c r="I116" s="100">
        <f t="shared" si="65"/>
        <v>0</v>
      </c>
      <c r="J116" s="100">
        <f t="shared" si="65"/>
        <v>-4627349.3195074527</v>
      </c>
      <c r="K116" s="100">
        <f t="shared" si="65"/>
        <v>0</v>
      </c>
      <c r="L116" s="100">
        <f t="shared" si="65"/>
        <v>-5372650.6804925473</v>
      </c>
      <c r="M116" s="100">
        <f t="shared" si="65"/>
        <v>0</v>
      </c>
      <c r="N116" s="100">
        <f t="shared" si="65"/>
        <v>0</v>
      </c>
      <c r="O116" s="100">
        <f t="shared" si="65"/>
        <v>0</v>
      </c>
      <c r="P116" s="100">
        <f t="shared" si="65"/>
        <v>0</v>
      </c>
      <c r="Q116" s="100">
        <f t="shared" si="65"/>
        <v>0</v>
      </c>
      <c r="R116" s="162">
        <f t="shared" si="65"/>
        <v>0</v>
      </c>
      <c r="S116" s="115">
        <f>SUM(F116:R116)</f>
        <v>-10000000</v>
      </c>
    </row>
    <row r="117" spans="2:21" ht="15" x14ac:dyDescent="0.25">
      <c r="B117" s="192" t="s">
        <v>163</v>
      </c>
      <c r="C117" s="191" t="s">
        <v>374</v>
      </c>
      <c r="D117" s="248"/>
      <c r="E117" s="114" t="str">
        <f t="shared" si="61"/>
        <v>Finanziamento Finale</v>
      </c>
      <c r="F117" s="115">
        <f t="shared" ref="F117:K117" si="66">F112+F113+F116</f>
        <v>0</v>
      </c>
      <c r="G117" s="115">
        <f t="shared" si="66"/>
        <v>10000000</v>
      </c>
      <c r="H117" s="115">
        <f t="shared" si="66"/>
        <v>10000000</v>
      </c>
      <c r="I117" s="115">
        <f t="shared" si="66"/>
        <v>10000000</v>
      </c>
      <c r="J117" s="115">
        <f t="shared" si="66"/>
        <v>5372650.6804925473</v>
      </c>
      <c r="K117" s="115">
        <f t="shared" si="66"/>
        <v>5372650.6804925473</v>
      </c>
      <c r="R117" s="162"/>
      <c r="S117" s="115"/>
    </row>
    <row r="118" spans="2:21" ht="15" x14ac:dyDescent="0.25">
      <c r="B118" s="215" t="s">
        <v>24</v>
      </c>
      <c r="C118" s="192" t="s">
        <v>236</v>
      </c>
      <c r="D118" s="248"/>
      <c r="E118" s="144" t="str">
        <f t="shared" si="61"/>
        <v>Interessi</v>
      </c>
      <c r="F118" s="126"/>
      <c r="G118" s="126">
        <f>-G117*$H$28</f>
        <v>-137500</v>
      </c>
      <c r="H118" s="126">
        <f t="shared" ref="H118:R118" si="67">-H117*$H$28</f>
        <v>-137500</v>
      </c>
      <c r="I118" s="126">
        <f t="shared" si="67"/>
        <v>-137500</v>
      </c>
      <c r="J118" s="126">
        <f t="shared" si="67"/>
        <v>-73873.946856772527</v>
      </c>
      <c r="K118" s="126">
        <f t="shared" si="67"/>
        <v>-73873.946856772527</v>
      </c>
      <c r="L118" s="126">
        <f t="shared" si="67"/>
        <v>0</v>
      </c>
      <c r="M118" s="126">
        <f t="shared" si="67"/>
        <v>0</v>
      </c>
      <c r="N118" s="126">
        <f t="shared" si="67"/>
        <v>0</v>
      </c>
      <c r="O118" s="126">
        <f t="shared" si="67"/>
        <v>0</v>
      </c>
      <c r="P118" s="126">
        <f t="shared" si="67"/>
        <v>0</v>
      </c>
      <c r="Q118" s="126">
        <f t="shared" si="67"/>
        <v>0</v>
      </c>
      <c r="R118" s="163">
        <f t="shared" si="67"/>
        <v>0</v>
      </c>
      <c r="S118" s="130">
        <f>SUM(F118:R118)</f>
        <v>-560247.89371354505</v>
      </c>
    </row>
    <row r="119" spans="2:21" s="102" customFormat="1" ht="15" x14ac:dyDescent="0.25">
      <c r="B119" s="196" t="s">
        <v>73</v>
      </c>
      <c r="C119" s="196" t="s">
        <v>301</v>
      </c>
      <c r="D119" s="248"/>
      <c r="E119" s="102" t="str">
        <f t="shared" si="61"/>
        <v>Flusso Linea A3</v>
      </c>
      <c r="F119" s="103">
        <f>F113+F114+F116+F118</f>
        <v>0</v>
      </c>
      <c r="G119" s="103">
        <f>G113+G114+G116+G118+G115</f>
        <v>9717500</v>
      </c>
      <c r="H119" s="103">
        <f t="shared" ref="H119:R119" si="68">H113+H114+H116+H118+H115</f>
        <v>-137500</v>
      </c>
      <c r="I119" s="103">
        <f t="shared" si="68"/>
        <v>-137500</v>
      </c>
      <c r="J119" s="103">
        <f t="shared" si="68"/>
        <v>-4701223.2663642252</v>
      </c>
      <c r="K119" s="103">
        <f t="shared" si="68"/>
        <v>-73873.946856772527</v>
      </c>
      <c r="L119" s="103">
        <f t="shared" si="68"/>
        <v>-5372650.6804925473</v>
      </c>
      <c r="M119" s="103">
        <f t="shared" si="68"/>
        <v>0</v>
      </c>
      <c r="N119" s="103">
        <f t="shared" si="68"/>
        <v>0</v>
      </c>
      <c r="O119" s="103">
        <f t="shared" si="68"/>
        <v>0</v>
      </c>
      <c r="P119" s="103">
        <f t="shared" si="68"/>
        <v>0</v>
      </c>
      <c r="Q119" s="103">
        <f t="shared" si="68"/>
        <v>0</v>
      </c>
      <c r="R119" s="164">
        <f t="shared" si="68"/>
        <v>0</v>
      </c>
      <c r="S119" s="115">
        <f>SUM(F119:R119)</f>
        <v>-705247.89371354505</v>
      </c>
      <c r="T119" s="103"/>
      <c r="U119" s="103"/>
    </row>
    <row r="120" spans="2:21" ht="15" x14ac:dyDescent="0.25">
      <c r="F120" s="100"/>
      <c r="G120" s="100"/>
    </row>
    <row r="121" spans="2:21" ht="15.75" thickBot="1" x14ac:dyDescent="0.3">
      <c r="B121" s="197" t="s">
        <v>386</v>
      </c>
      <c r="C121" s="197" t="s">
        <v>387</v>
      </c>
      <c r="D121" s="248" t="s">
        <v>250</v>
      </c>
      <c r="E121" s="131" t="str">
        <f t="shared" ref="E121:E135" si="69">IF($A$1=1,B121,C121)</f>
        <v>Sintesi Linea A Acquisizione</v>
      </c>
      <c r="F121" s="204">
        <v>0</v>
      </c>
      <c r="G121" s="204">
        <v>1</v>
      </c>
      <c r="H121" s="204">
        <v>2</v>
      </c>
      <c r="I121" s="204">
        <v>3</v>
      </c>
      <c r="J121" s="204">
        <v>4</v>
      </c>
      <c r="K121" s="204">
        <v>5</v>
      </c>
      <c r="L121" s="204">
        <v>6</v>
      </c>
      <c r="M121" s="204">
        <v>7</v>
      </c>
      <c r="N121" s="204">
        <v>8</v>
      </c>
      <c r="O121" s="204">
        <v>9</v>
      </c>
      <c r="P121" s="204">
        <v>10</v>
      </c>
      <c r="Q121" s="204">
        <v>11</v>
      </c>
      <c r="R121" s="226">
        <v>12</v>
      </c>
      <c r="S121" s="204" t="s">
        <v>368</v>
      </c>
    </row>
    <row r="122" spans="2:21" ht="15.75" thickTop="1" x14ac:dyDescent="0.25">
      <c r="B122" s="191" t="s">
        <v>1</v>
      </c>
      <c r="C122" s="191" t="s">
        <v>234</v>
      </c>
      <c r="D122" s="248"/>
      <c r="E122" s="99" t="str">
        <f t="shared" si="69"/>
        <v>Erogazione</v>
      </c>
      <c r="F122" s="100">
        <f t="shared" ref="F122:R122" si="70">F113+F103+F93</f>
        <v>0</v>
      </c>
      <c r="G122" s="100">
        <f t="shared" si="70"/>
        <v>30000000</v>
      </c>
      <c r="H122" s="100">
        <f t="shared" si="70"/>
        <v>0</v>
      </c>
      <c r="I122" s="100">
        <f t="shared" si="70"/>
        <v>0</v>
      </c>
      <c r="J122" s="100">
        <f t="shared" si="70"/>
        <v>0</v>
      </c>
      <c r="K122" s="100">
        <f t="shared" si="70"/>
        <v>0</v>
      </c>
      <c r="L122" s="100">
        <f t="shared" si="70"/>
        <v>0</v>
      </c>
      <c r="M122" s="100">
        <f t="shared" si="70"/>
        <v>0</v>
      </c>
      <c r="N122" s="100">
        <f t="shared" si="70"/>
        <v>0</v>
      </c>
      <c r="O122" s="100">
        <f t="shared" si="70"/>
        <v>0</v>
      </c>
      <c r="P122" s="100">
        <f t="shared" si="70"/>
        <v>0</v>
      </c>
      <c r="Q122" s="100">
        <f t="shared" si="70"/>
        <v>0</v>
      </c>
      <c r="R122" s="162">
        <f t="shared" si="70"/>
        <v>0</v>
      </c>
      <c r="S122" s="115">
        <f>SUM(F122:R122)</f>
        <v>30000000</v>
      </c>
    </row>
    <row r="123" spans="2:21" ht="15" x14ac:dyDescent="0.25">
      <c r="B123" s="191" t="s">
        <v>23</v>
      </c>
      <c r="C123" s="191" t="s">
        <v>374</v>
      </c>
      <c r="D123" s="248"/>
      <c r="E123" s="99" t="str">
        <f t="shared" si="69"/>
        <v>Rimborso</v>
      </c>
      <c r="F123" s="100">
        <f>F114+F104+F94</f>
        <v>0</v>
      </c>
      <c r="G123" s="100">
        <f t="shared" ref="G123:R123" si="71">G116+G106+G96</f>
        <v>0</v>
      </c>
      <c r="H123" s="100">
        <f t="shared" si="71"/>
        <v>0</v>
      </c>
      <c r="I123" s="100">
        <f t="shared" si="71"/>
        <v>0</v>
      </c>
      <c r="J123" s="100">
        <f t="shared" si="71"/>
        <v>-4627349.3195074527</v>
      </c>
      <c r="K123" s="100">
        <f t="shared" si="71"/>
        <v>0</v>
      </c>
      <c r="L123" s="100">
        <f t="shared" si="71"/>
        <v>-6952689.5657809461</v>
      </c>
      <c r="M123" s="100">
        <f t="shared" si="71"/>
        <v>-2877511.3415424493</v>
      </c>
      <c r="N123" s="100">
        <f t="shared" si="71"/>
        <v>-13843162.670123136</v>
      </c>
      <c r="O123" s="100">
        <f t="shared" si="71"/>
        <v>0</v>
      </c>
      <c r="P123" s="100">
        <f t="shared" si="71"/>
        <v>-1699287.1030460149</v>
      </c>
      <c r="Q123" s="100">
        <f t="shared" si="71"/>
        <v>0</v>
      </c>
      <c r="R123" s="162">
        <f t="shared" si="71"/>
        <v>0</v>
      </c>
      <c r="S123" s="115">
        <f>SUM(F123:R123)</f>
        <v>-30000000</v>
      </c>
    </row>
    <row r="124" spans="2:21" ht="15" x14ac:dyDescent="0.25">
      <c r="B124" s="191" t="s">
        <v>163</v>
      </c>
      <c r="C124" s="191" t="s">
        <v>236</v>
      </c>
      <c r="D124" s="248"/>
      <c r="E124" s="99" t="str">
        <f t="shared" si="69"/>
        <v>Finanziamento Finale</v>
      </c>
      <c r="F124" s="100">
        <f>F115+F105+F95</f>
        <v>0</v>
      </c>
      <c r="G124" s="100">
        <f t="shared" ref="G124:R124" si="72">G117+G107+G97</f>
        <v>30000000</v>
      </c>
      <c r="H124" s="100">
        <f t="shared" si="72"/>
        <v>30000000</v>
      </c>
      <c r="I124" s="100">
        <f t="shared" si="72"/>
        <v>30000000</v>
      </c>
      <c r="J124" s="100">
        <f t="shared" si="72"/>
        <v>25372650.680492546</v>
      </c>
      <c r="K124" s="100">
        <f t="shared" si="72"/>
        <v>25372650.680492546</v>
      </c>
      <c r="L124" s="100">
        <f t="shared" si="72"/>
        <v>18419961.114711601</v>
      </c>
      <c r="M124" s="100">
        <f t="shared" si="72"/>
        <v>15542449.773169152</v>
      </c>
      <c r="N124" s="100">
        <f t="shared" si="72"/>
        <v>1699287.1030460168</v>
      </c>
      <c r="O124" s="100">
        <f t="shared" si="72"/>
        <v>1699287.1030460168</v>
      </c>
      <c r="P124" s="100">
        <f t="shared" si="72"/>
        <v>1.862645149230957E-9</v>
      </c>
      <c r="Q124" s="100">
        <f t="shared" si="72"/>
        <v>1.862645149230957E-9</v>
      </c>
      <c r="R124" s="162">
        <f t="shared" si="72"/>
        <v>1.862645149230957E-9</v>
      </c>
      <c r="S124" s="115">
        <f>MAX(F124:R124)</f>
        <v>30000000</v>
      </c>
    </row>
    <row r="125" spans="2:21" ht="15" x14ac:dyDescent="0.25">
      <c r="B125" s="191" t="s">
        <v>76</v>
      </c>
      <c r="C125" s="191" t="s">
        <v>280</v>
      </c>
      <c r="D125" s="248"/>
      <c r="E125" s="99" t="str">
        <f t="shared" si="69"/>
        <v>Valore Portafoglio</v>
      </c>
      <c r="F125" s="100">
        <f>F52</f>
        <v>46290000</v>
      </c>
      <c r="G125" s="100">
        <f>G52</f>
        <v>46290000</v>
      </c>
      <c r="H125" s="100">
        <f t="shared" ref="H125:R125" si="73">H52</f>
        <v>46290000</v>
      </c>
      <c r="I125" s="100">
        <f t="shared" si="73"/>
        <v>46290000</v>
      </c>
      <c r="J125" s="100">
        <f t="shared" si="73"/>
        <v>40340000</v>
      </c>
      <c r="K125" s="100">
        <f t="shared" si="73"/>
        <v>40340000</v>
      </c>
      <c r="L125" s="100">
        <f t="shared" si="73"/>
        <v>31400000</v>
      </c>
      <c r="M125" s="100">
        <f t="shared" si="73"/>
        <v>27700000</v>
      </c>
      <c r="N125" s="100">
        <f t="shared" si="73"/>
        <v>9900000</v>
      </c>
      <c r="O125" s="100">
        <f t="shared" si="73"/>
        <v>9900000</v>
      </c>
      <c r="P125" s="100">
        <f t="shared" si="73"/>
        <v>0</v>
      </c>
      <c r="Q125" s="100">
        <f t="shared" si="73"/>
        <v>0</v>
      </c>
      <c r="R125" s="162">
        <f t="shared" si="73"/>
        <v>0</v>
      </c>
      <c r="S125" s="115"/>
    </row>
    <row r="126" spans="2:21" ht="15" x14ac:dyDescent="0.25">
      <c r="B126" s="227" t="s">
        <v>0</v>
      </c>
      <c r="C126" s="227" t="s">
        <v>0</v>
      </c>
      <c r="D126" s="248"/>
      <c r="E126" s="177" t="str">
        <f t="shared" si="69"/>
        <v>LTV</v>
      </c>
      <c r="F126" s="171" t="str">
        <f>IF(F124=0,"",F124/F125)</f>
        <v/>
      </c>
      <c r="G126" s="171">
        <f t="shared" ref="G126:O126" si="74">IF(G125=0,"",G124/G125)</f>
        <v>0.64808813998703829</v>
      </c>
      <c r="H126" s="171">
        <f t="shared" si="74"/>
        <v>0.64808813998703829</v>
      </c>
      <c r="I126" s="171">
        <f t="shared" si="74"/>
        <v>0.64808813998703829</v>
      </c>
      <c r="J126" s="171">
        <f t="shared" si="74"/>
        <v>0.62897002182678596</v>
      </c>
      <c r="K126" s="171">
        <f t="shared" si="74"/>
        <v>0.62897002182678596</v>
      </c>
      <c r="L126" s="171">
        <f t="shared" si="74"/>
        <v>0.58662296543667525</v>
      </c>
      <c r="M126" s="171">
        <f t="shared" si="74"/>
        <v>0.56109926978950009</v>
      </c>
      <c r="N126" s="171">
        <f t="shared" si="74"/>
        <v>0.17164516192384008</v>
      </c>
      <c r="O126" s="171">
        <f t="shared" si="74"/>
        <v>0.17164516192384008</v>
      </c>
      <c r="P126" s="171" t="str">
        <f>IF(P125=0,"",P124/P125)</f>
        <v/>
      </c>
      <c r="Q126" s="171" t="str">
        <f>IF(Q125=0,"",Q124/Q125)</f>
        <v/>
      </c>
      <c r="R126" s="172" t="str">
        <f>IF(R125=0,"",R124/R125)</f>
        <v/>
      </c>
      <c r="S126" s="173">
        <f>MAX(F126:R126)</f>
        <v>0.64808813998703829</v>
      </c>
    </row>
    <row r="127" spans="2:21" s="114" customFormat="1" ht="15" x14ac:dyDescent="0.25">
      <c r="B127" s="206" t="s">
        <v>139</v>
      </c>
      <c r="C127" s="206" t="s">
        <v>139</v>
      </c>
      <c r="D127" s="248"/>
      <c r="E127" s="129" t="str">
        <f t="shared" si="69"/>
        <v>Covenant Test</v>
      </c>
      <c r="F127" s="174"/>
      <c r="G127" s="174" t="str">
        <f t="shared" ref="G127:O127" si="75">IF(G125=0,"",IF($K$37&gt;=G126,"OK","NO"))</f>
        <v>OK</v>
      </c>
      <c r="H127" s="174" t="str">
        <f t="shared" si="75"/>
        <v>OK</v>
      </c>
      <c r="I127" s="174" t="str">
        <f t="shared" si="75"/>
        <v>OK</v>
      </c>
      <c r="J127" s="174" t="str">
        <f t="shared" si="75"/>
        <v>OK</v>
      </c>
      <c r="K127" s="174" t="str">
        <f t="shared" si="75"/>
        <v>OK</v>
      </c>
      <c r="L127" s="174" t="str">
        <f t="shared" si="75"/>
        <v>OK</v>
      </c>
      <c r="M127" s="174" t="str">
        <f t="shared" si="75"/>
        <v>OK</v>
      </c>
      <c r="N127" s="174" t="str">
        <f t="shared" si="75"/>
        <v>OK</v>
      </c>
      <c r="O127" s="174" t="str">
        <f t="shared" si="75"/>
        <v>OK</v>
      </c>
      <c r="P127" s="174" t="str">
        <f>IF(P125=0,"",IF($K$37&gt;=P126,"OK","NO"))</f>
        <v/>
      </c>
      <c r="Q127" s="174" t="str">
        <f>IF(Q125=0,"",IF($K$37&gt;=Q126,"OK","NO"))</f>
        <v/>
      </c>
      <c r="R127" s="175" t="str">
        <f>IF(R125=0,"",IF($K$37&gt;=R126,"OK","NO"))</f>
        <v/>
      </c>
      <c r="S127" s="176"/>
      <c r="T127" s="115"/>
      <c r="U127" s="115"/>
    </row>
    <row r="128" spans="2:21" ht="15" x14ac:dyDescent="0.25">
      <c r="B128" s="191" t="s">
        <v>87</v>
      </c>
      <c r="C128" s="191" t="s">
        <v>270</v>
      </c>
      <c r="D128" s="248"/>
      <c r="E128" s="99" t="str">
        <f t="shared" si="69"/>
        <v>Oneri Finanziari</v>
      </c>
      <c r="F128" s="100"/>
      <c r="G128" s="100">
        <f t="shared" ref="G128:R128" si="76">G118+G108+G98</f>
        <v>-375000</v>
      </c>
      <c r="H128" s="100">
        <f t="shared" si="76"/>
        <v>-375000</v>
      </c>
      <c r="I128" s="100">
        <f t="shared" si="76"/>
        <v>-375000</v>
      </c>
      <c r="J128" s="100">
        <f t="shared" si="76"/>
        <v>-311373.94685677253</v>
      </c>
      <c r="K128" s="100">
        <f t="shared" si="76"/>
        <v>-311373.94685677253</v>
      </c>
      <c r="L128" s="100">
        <f t="shared" si="76"/>
        <v>-217749.51393389504</v>
      </c>
      <c r="M128" s="100">
        <f t="shared" si="76"/>
        <v>-181780.62216461441</v>
      </c>
      <c r="N128" s="100">
        <f t="shared" si="76"/>
        <v>-19116.979909267688</v>
      </c>
      <c r="O128" s="100">
        <f t="shared" si="76"/>
        <v>-19116.979909267688</v>
      </c>
      <c r="P128" s="100">
        <f t="shared" si="76"/>
        <v>-2.0954757928848266E-11</v>
      </c>
      <c r="Q128" s="100">
        <f t="shared" si="76"/>
        <v>-2.0954757928848266E-11</v>
      </c>
      <c r="R128" s="162">
        <f t="shared" si="76"/>
        <v>-2.0954757928848266E-11</v>
      </c>
      <c r="S128" s="115">
        <f>SUM(F128:R128)</f>
        <v>-2185511.9896305902</v>
      </c>
    </row>
    <row r="129" spans="2:21" ht="15" x14ac:dyDescent="0.25">
      <c r="B129" s="191" t="s">
        <v>70</v>
      </c>
      <c r="C129" s="191" t="s">
        <v>205</v>
      </c>
      <c r="D129" s="248"/>
      <c r="E129" s="99" t="str">
        <f t="shared" si="69"/>
        <v>Canone</v>
      </c>
      <c r="F129" s="100"/>
      <c r="G129" s="100">
        <f t="shared" ref="G129:R129" si="77">SUM(G62:G66)</f>
        <v>694350</v>
      </c>
      <c r="H129" s="100">
        <f t="shared" si="77"/>
        <v>697821.75</v>
      </c>
      <c r="I129" s="100">
        <f t="shared" si="77"/>
        <v>701310.8587499999</v>
      </c>
      <c r="J129" s="100">
        <f t="shared" si="77"/>
        <v>614221.95813749987</v>
      </c>
      <c r="K129" s="100">
        <f t="shared" si="77"/>
        <v>617293.06792818732</v>
      </c>
      <c r="L129" s="100">
        <f t="shared" si="77"/>
        <v>482893.34022334672</v>
      </c>
      <c r="M129" s="100">
        <f t="shared" si="77"/>
        <v>428121.85515310941</v>
      </c>
      <c r="N129" s="100">
        <f t="shared" si="77"/>
        <v>153776.11544569896</v>
      </c>
      <c r="O129" s="100">
        <f t="shared" si="77"/>
        <v>154544.99602292743</v>
      </c>
      <c r="P129" s="100">
        <f t="shared" si="77"/>
        <v>0</v>
      </c>
      <c r="Q129" s="100">
        <f t="shared" si="77"/>
        <v>0</v>
      </c>
      <c r="R129" s="162">
        <f t="shared" si="77"/>
        <v>0</v>
      </c>
      <c r="S129" s="115">
        <f>SUM(F129:R129)</f>
        <v>4544333.9416607693</v>
      </c>
    </row>
    <row r="130" spans="2:21" ht="15" x14ac:dyDescent="0.25">
      <c r="B130" s="228" t="s">
        <v>6</v>
      </c>
      <c r="C130" s="228" t="s">
        <v>6</v>
      </c>
      <c r="D130" s="248"/>
      <c r="E130" s="124" t="str">
        <f t="shared" si="69"/>
        <v>ICR</v>
      </c>
      <c r="F130" s="171"/>
      <c r="G130" s="171">
        <f t="shared" ref="G130:O130" si="78">IF(G125=0,"",G129/-G128)</f>
        <v>1.8515999999999999</v>
      </c>
      <c r="H130" s="171">
        <f t="shared" si="78"/>
        <v>1.8608579999999999</v>
      </c>
      <c r="I130" s="171">
        <f t="shared" si="78"/>
        <v>1.8701622899999997</v>
      </c>
      <c r="J130" s="171">
        <f t="shared" si="78"/>
        <v>1.9726183399025128</v>
      </c>
      <c r="K130" s="171">
        <f t="shared" si="78"/>
        <v>1.9824814316020252</v>
      </c>
      <c r="L130" s="171">
        <f t="shared" si="78"/>
        <v>2.2176551924241941</v>
      </c>
      <c r="M130" s="171">
        <f t="shared" si="78"/>
        <v>2.3551567271313258</v>
      </c>
      <c r="N130" s="171">
        <f t="shared" si="78"/>
        <v>8.0439544413158117</v>
      </c>
      <c r="O130" s="171">
        <f t="shared" si="78"/>
        <v>8.08417421352239</v>
      </c>
      <c r="P130" s="171" t="str">
        <f>IF(P125=0,"",P129/-P128)</f>
        <v/>
      </c>
      <c r="Q130" s="171" t="str">
        <f>IF(Q125=0,"",Q129/-Q128)</f>
        <v/>
      </c>
      <c r="R130" s="172" t="str">
        <f>IF(R125=0,"",R129/-R128)</f>
        <v/>
      </c>
      <c r="S130" s="173">
        <f>MIN(F130:R130)</f>
        <v>1.8515999999999999</v>
      </c>
    </row>
    <row r="131" spans="2:21" s="114" customFormat="1" ht="15" x14ac:dyDescent="0.25">
      <c r="B131" s="206" t="s">
        <v>139</v>
      </c>
      <c r="C131" s="206" t="s">
        <v>139</v>
      </c>
      <c r="D131" s="248"/>
      <c r="E131" s="129" t="str">
        <f t="shared" si="69"/>
        <v>Covenant Test</v>
      </c>
      <c r="F131" s="174"/>
      <c r="G131" s="174" t="str">
        <f>IF(G125=0,"",IF($K$38&lt;=G130,"OK","NO"))</f>
        <v>OK</v>
      </c>
      <c r="H131" s="174" t="str">
        <f t="shared" ref="H131:R131" si="79">IF(H125=0,"",IF($K$38&lt;=H130,"OK","NO"))</f>
        <v>OK</v>
      </c>
      <c r="I131" s="174" t="str">
        <f t="shared" si="79"/>
        <v>OK</v>
      </c>
      <c r="J131" s="174" t="str">
        <f t="shared" si="79"/>
        <v>OK</v>
      </c>
      <c r="K131" s="174" t="str">
        <f t="shared" si="79"/>
        <v>OK</v>
      </c>
      <c r="L131" s="174" t="str">
        <f t="shared" si="79"/>
        <v>OK</v>
      </c>
      <c r="M131" s="174" t="str">
        <f t="shared" si="79"/>
        <v>OK</v>
      </c>
      <c r="N131" s="174" t="str">
        <f t="shared" si="79"/>
        <v>OK</v>
      </c>
      <c r="O131" s="174" t="str">
        <f t="shared" si="79"/>
        <v>OK</v>
      </c>
      <c r="P131" s="174" t="str">
        <f t="shared" si="79"/>
        <v/>
      </c>
      <c r="Q131" s="174" t="str">
        <f t="shared" si="79"/>
        <v/>
      </c>
      <c r="R131" s="175" t="str">
        <f t="shared" si="79"/>
        <v/>
      </c>
      <c r="S131" s="176"/>
      <c r="T131" s="115"/>
      <c r="U131" s="115"/>
    </row>
    <row r="132" spans="2:21" ht="15" x14ac:dyDescent="0.25">
      <c r="B132" s="192" t="s">
        <v>22</v>
      </c>
      <c r="C132" s="192" t="s">
        <v>22</v>
      </c>
      <c r="D132" s="248"/>
      <c r="E132" s="114" t="str">
        <f t="shared" si="69"/>
        <v>Arrangement fee</v>
      </c>
      <c r="F132" s="100">
        <f t="shared" ref="F132:R132" si="80">F114+F104+F94</f>
        <v>0</v>
      </c>
      <c r="G132" s="100">
        <f t="shared" si="80"/>
        <v>-360000</v>
      </c>
      <c r="H132" s="100">
        <f t="shared" si="80"/>
        <v>0</v>
      </c>
      <c r="I132" s="100">
        <f t="shared" si="80"/>
        <v>0</v>
      </c>
      <c r="J132" s="100">
        <f t="shared" si="80"/>
        <v>0</v>
      </c>
      <c r="K132" s="100">
        <f t="shared" si="80"/>
        <v>0</v>
      </c>
      <c r="L132" s="100">
        <f t="shared" si="80"/>
        <v>0</v>
      </c>
      <c r="M132" s="100">
        <f t="shared" si="80"/>
        <v>0</v>
      </c>
      <c r="N132" s="100">
        <f t="shared" si="80"/>
        <v>0</v>
      </c>
      <c r="O132" s="100">
        <f t="shared" si="80"/>
        <v>0</v>
      </c>
      <c r="P132" s="100">
        <f t="shared" si="80"/>
        <v>0</v>
      </c>
      <c r="Q132" s="100">
        <f t="shared" si="80"/>
        <v>0</v>
      </c>
      <c r="R132" s="162">
        <f t="shared" si="80"/>
        <v>0</v>
      </c>
      <c r="S132" s="115">
        <f>SUM(F132:R132)</f>
        <v>-360000</v>
      </c>
    </row>
    <row r="133" spans="2:21" ht="15" x14ac:dyDescent="0.25">
      <c r="B133" s="191" t="s">
        <v>125</v>
      </c>
      <c r="C133" s="191" t="s">
        <v>192</v>
      </c>
      <c r="D133" s="248"/>
      <c r="E133" s="99" t="str">
        <f t="shared" si="69"/>
        <v>Imposta sostitutiva</v>
      </c>
      <c r="F133" s="100">
        <f t="shared" ref="F133:R133" si="81">F115+F105+F95</f>
        <v>0</v>
      </c>
      <c r="G133" s="100">
        <f t="shared" si="81"/>
        <v>-75000</v>
      </c>
      <c r="H133" s="100">
        <f t="shared" si="81"/>
        <v>0</v>
      </c>
      <c r="I133" s="100">
        <f t="shared" si="81"/>
        <v>0</v>
      </c>
      <c r="J133" s="100">
        <f t="shared" si="81"/>
        <v>0</v>
      </c>
      <c r="K133" s="100">
        <f t="shared" si="81"/>
        <v>0</v>
      </c>
      <c r="L133" s="100">
        <f t="shared" si="81"/>
        <v>0</v>
      </c>
      <c r="M133" s="100">
        <f t="shared" si="81"/>
        <v>0</v>
      </c>
      <c r="N133" s="100">
        <f t="shared" si="81"/>
        <v>0</v>
      </c>
      <c r="O133" s="100">
        <f t="shared" si="81"/>
        <v>0</v>
      </c>
      <c r="P133" s="100">
        <f t="shared" si="81"/>
        <v>0</v>
      </c>
      <c r="Q133" s="100">
        <f t="shared" si="81"/>
        <v>0</v>
      </c>
      <c r="R133" s="162">
        <f t="shared" si="81"/>
        <v>0</v>
      </c>
      <c r="S133" s="115">
        <f>SUM(F133:R133)</f>
        <v>-75000</v>
      </c>
    </row>
    <row r="134" spans="2:21" ht="15" x14ac:dyDescent="0.25">
      <c r="B134" s="201" t="s">
        <v>92</v>
      </c>
      <c r="C134" s="201" t="s">
        <v>302</v>
      </c>
      <c r="D134" s="248"/>
      <c r="E134" s="125" t="str">
        <f t="shared" si="69"/>
        <v>Commissione Gestione</v>
      </c>
      <c r="F134" s="126">
        <f t="shared" ref="F134:O134" si="82">IF(F124&gt;1,-$F$33/4,0)</f>
        <v>0</v>
      </c>
      <c r="G134" s="126">
        <f t="shared" si="82"/>
        <v>-7500</v>
      </c>
      <c r="H134" s="126">
        <f t="shared" si="82"/>
        <v>-7500</v>
      </c>
      <c r="I134" s="126">
        <f t="shared" si="82"/>
        <v>-7500</v>
      </c>
      <c r="J134" s="126">
        <f t="shared" si="82"/>
        <v>-7500</v>
      </c>
      <c r="K134" s="126">
        <f t="shared" si="82"/>
        <v>-7500</v>
      </c>
      <c r="L134" s="126">
        <f t="shared" si="82"/>
        <v>-7500</v>
      </c>
      <c r="M134" s="126">
        <f t="shared" si="82"/>
        <v>-7500</v>
      </c>
      <c r="N134" s="126">
        <f t="shared" si="82"/>
        <v>-7500</v>
      </c>
      <c r="O134" s="126">
        <f t="shared" si="82"/>
        <v>-7500</v>
      </c>
      <c r="P134" s="126">
        <f>IF(P124&gt;1,-$F$33/4,0)</f>
        <v>0</v>
      </c>
      <c r="Q134" s="126">
        <f>IF(Q124&gt;1,-$F$33/4,0)</f>
        <v>0</v>
      </c>
      <c r="R134" s="163">
        <f>IF(R124&gt;1,-$F$33/4,0)</f>
        <v>0</v>
      </c>
      <c r="S134" s="130">
        <f>SUM(F134:R134)</f>
        <v>-67500</v>
      </c>
      <c r="T134" s="103"/>
      <c r="U134" s="103"/>
    </row>
    <row r="135" spans="2:21" ht="15" x14ac:dyDescent="0.25">
      <c r="B135" s="196" t="s">
        <v>388</v>
      </c>
      <c r="C135" s="196" t="s">
        <v>303</v>
      </c>
      <c r="D135" s="248"/>
      <c r="E135" s="102" t="str">
        <f t="shared" si="69"/>
        <v>Flusso Linea A Acquisizione</v>
      </c>
      <c r="F135" s="103">
        <f t="shared" ref="F135:R135" si="83">SUM(F122:F123,F128,F132:F134)</f>
        <v>0</v>
      </c>
      <c r="G135" s="103">
        <f t="shared" si="83"/>
        <v>29182500</v>
      </c>
      <c r="H135" s="103">
        <f t="shared" si="83"/>
        <v>-382500</v>
      </c>
      <c r="I135" s="103">
        <f t="shared" si="83"/>
        <v>-382500</v>
      </c>
      <c r="J135" s="103">
        <f t="shared" si="83"/>
        <v>-4946223.2663642252</v>
      </c>
      <c r="K135" s="103">
        <f t="shared" si="83"/>
        <v>-318873.94685677253</v>
      </c>
      <c r="L135" s="103">
        <f t="shared" si="83"/>
        <v>-7177939.0797148412</v>
      </c>
      <c r="M135" s="103">
        <f t="shared" si="83"/>
        <v>-3066791.9637070638</v>
      </c>
      <c r="N135" s="103">
        <f t="shared" si="83"/>
        <v>-13869779.650032403</v>
      </c>
      <c r="O135" s="103">
        <f t="shared" si="83"/>
        <v>-26616.979909267688</v>
      </c>
      <c r="P135" s="103">
        <f t="shared" si="83"/>
        <v>-1699287.1030460149</v>
      </c>
      <c r="Q135" s="103">
        <f t="shared" si="83"/>
        <v>-2.0954757928848266E-11</v>
      </c>
      <c r="R135" s="164">
        <f t="shared" si="83"/>
        <v>-2.0954757928848266E-11</v>
      </c>
      <c r="S135" s="115">
        <f>SUM(F135:R135)</f>
        <v>-2688011.9896305897</v>
      </c>
      <c r="T135" s="141"/>
      <c r="U135" s="141"/>
    </row>
    <row r="136" spans="2:21" ht="15" x14ac:dyDescent="0.25">
      <c r="D136" s="248"/>
      <c r="F136" s="100"/>
      <c r="G136" s="100"/>
    </row>
    <row r="137" spans="2:21" ht="15.75" thickBot="1" x14ac:dyDescent="0.3">
      <c r="B137" s="197" t="s">
        <v>389</v>
      </c>
      <c r="C137" s="197" t="s">
        <v>306</v>
      </c>
      <c r="D137" s="248"/>
      <c r="E137" s="131" t="str">
        <f t="shared" ref="E137:E145" si="84">IF($A$1=1,B137,C137)</f>
        <v>Linea B IVA</v>
      </c>
      <c r="F137" s="204">
        <v>0</v>
      </c>
      <c r="G137" s="204">
        <v>1</v>
      </c>
      <c r="H137" s="204">
        <v>2</v>
      </c>
      <c r="I137" s="204">
        <v>3</v>
      </c>
      <c r="J137" s="204">
        <v>4</v>
      </c>
      <c r="K137" s="204">
        <v>5</v>
      </c>
      <c r="L137" s="204">
        <v>6</v>
      </c>
      <c r="M137" s="204">
        <v>7</v>
      </c>
      <c r="N137" s="204">
        <v>8</v>
      </c>
      <c r="O137" s="204">
        <v>9</v>
      </c>
      <c r="P137" s="204">
        <v>10</v>
      </c>
      <c r="Q137" s="204">
        <v>11</v>
      </c>
      <c r="R137" s="226">
        <v>12</v>
      </c>
      <c r="S137" s="204" t="s">
        <v>368</v>
      </c>
    </row>
    <row r="138" spans="2:21" ht="15.75" thickTop="1" x14ac:dyDescent="0.25">
      <c r="B138" s="192" t="s">
        <v>162</v>
      </c>
      <c r="C138" s="192" t="s">
        <v>233</v>
      </c>
      <c r="D138" s="248"/>
      <c r="E138" s="114" t="str">
        <f t="shared" si="84"/>
        <v>Finanziamento Iniziale</v>
      </c>
      <c r="F138" s="100"/>
      <c r="G138" s="115">
        <f t="shared" ref="G138:R138" si="85">F143</f>
        <v>0</v>
      </c>
      <c r="H138" s="115">
        <f t="shared" si="85"/>
        <v>8427243</v>
      </c>
      <c r="I138" s="115">
        <f t="shared" si="85"/>
        <v>8273722.2149999999</v>
      </c>
      <c r="J138" s="115">
        <f t="shared" si="85"/>
        <v>8119433.8260749998</v>
      </c>
      <c r="K138" s="115">
        <f t="shared" si="85"/>
        <v>6675304.9952847492</v>
      </c>
      <c r="L138" s="115">
        <f t="shared" si="85"/>
        <v>6539500.5203405479</v>
      </c>
      <c r="M138" s="115">
        <f t="shared" si="85"/>
        <v>4466463.9854914118</v>
      </c>
      <c r="N138" s="115">
        <f t="shared" si="85"/>
        <v>3558277.1773577277</v>
      </c>
      <c r="O138" s="115">
        <f t="shared" si="85"/>
        <v>0</v>
      </c>
      <c r="P138" s="115">
        <f t="shared" si="85"/>
        <v>0</v>
      </c>
      <c r="Q138" s="115">
        <f t="shared" si="85"/>
        <v>0</v>
      </c>
      <c r="R138" s="159">
        <f t="shared" si="85"/>
        <v>0</v>
      </c>
      <c r="S138" s="115">
        <f t="shared" ref="S138:S145" si="86">SUM(F138:R138)</f>
        <v>46059945.719549432</v>
      </c>
    </row>
    <row r="139" spans="2:21" ht="15" x14ac:dyDescent="0.25">
      <c r="B139" s="191" t="s">
        <v>1</v>
      </c>
      <c r="C139" s="191" t="s">
        <v>234</v>
      </c>
      <c r="D139" s="248"/>
      <c r="E139" s="99" t="str">
        <f t="shared" si="84"/>
        <v>Erogazione</v>
      </c>
      <c r="F139" s="100">
        <f>-F70</f>
        <v>0</v>
      </c>
      <c r="G139" s="100">
        <f>-G70</f>
        <v>8427243</v>
      </c>
      <c r="R139" s="162"/>
      <c r="S139" s="115">
        <f t="shared" si="86"/>
        <v>8427243</v>
      </c>
    </row>
    <row r="140" spans="2:21" ht="15" x14ac:dyDescent="0.25">
      <c r="B140" s="191" t="s">
        <v>22</v>
      </c>
      <c r="C140" s="191" t="s">
        <v>22</v>
      </c>
      <c r="D140" s="248"/>
      <c r="E140" s="99" t="str">
        <f t="shared" si="84"/>
        <v>Arrangement fee</v>
      </c>
      <c r="F140" s="100">
        <f>-F139*$F$32</f>
        <v>0</v>
      </c>
      <c r="G140" s="100">
        <f>-G139*$F$32</f>
        <v>-101126.916</v>
      </c>
      <c r="H140" s="100">
        <f t="shared" ref="H140:R140" si="87">-H139*$F$32</f>
        <v>0</v>
      </c>
      <c r="I140" s="100">
        <f t="shared" si="87"/>
        <v>0</v>
      </c>
      <c r="J140" s="100">
        <f t="shared" si="87"/>
        <v>0</v>
      </c>
      <c r="K140" s="100">
        <f t="shared" si="87"/>
        <v>0</v>
      </c>
      <c r="L140" s="100">
        <f t="shared" si="87"/>
        <v>0</v>
      </c>
      <c r="M140" s="100">
        <f t="shared" si="87"/>
        <v>0</v>
      </c>
      <c r="N140" s="100">
        <f t="shared" si="87"/>
        <v>0</v>
      </c>
      <c r="O140" s="100">
        <f t="shared" si="87"/>
        <v>0</v>
      </c>
      <c r="P140" s="100">
        <f t="shared" si="87"/>
        <v>0</v>
      </c>
      <c r="Q140" s="100">
        <f t="shared" si="87"/>
        <v>0</v>
      </c>
      <c r="R140" s="162">
        <f t="shared" si="87"/>
        <v>0</v>
      </c>
      <c r="S140" s="115">
        <f t="shared" si="86"/>
        <v>-101126.916</v>
      </c>
    </row>
    <row r="141" spans="2:21" ht="15" x14ac:dyDescent="0.25">
      <c r="B141" s="191" t="s">
        <v>125</v>
      </c>
      <c r="C141" s="191" t="s">
        <v>304</v>
      </c>
      <c r="D141" s="248"/>
      <c r="E141" s="99" t="str">
        <f t="shared" si="84"/>
        <v>Imposta sostitutiva</v>
      </c>
      <c r="F141" s="100">
        <f>-$F$34*F139</f>
        <v>0</v>
      </c>
      <c r="G141" s="100">
        <f>-$F$34*G139</f>
        <v>-21068.107500000002</v>
      </c>
      <c r="H141" s="100">
        <f t="shared" ref="H141:R141" si="88">-$F$34*H139</f>
        <v>0</v>
      </c>
      <c r="I141" s="100">
        <f t="shared" si="88"/>
        <v>0</v>
      </c>
      <c r="J141" s="100">
        <f t="shared" si="88"/>
        <v>0</v>
      </c>
      <c r="K141" s="100">
        <f t="shared" si="88"/>
        <v>0</v>
      </c>
      <c r="L141" s="100">
        <f t="shared" si="88"/>
        <v>0</v>
      </c>
      <c r="M141" s="100">
        <f t="shared" si="88"/>
        <v>0</v>
      </c>
      <c r="N141" s="100">
        <f t="shared" si="88"/>
        <v>0</v>
      </c>
      <c r="O141" s="100">
        <f t="shared" si="88"/>
        <v>0</v>
      </c>
      <c r="P141" s="100">
        <f t="shared" si="88"/>
        <v>0</v>
      </c>
      <c r="Q141" s="100">
        <f t="shared" si="88"/>
        <v>0</v>
      </c>
      <c r="R141" s="162">
        <f t="shared" si="88"/>
        <v>0</v>
      </c>
      <c r="S141" s="115">
        <f t="shared" si="86"/>
        <v>-21068.107500000002</v>
      </c>
    </row>
    <row r="142" spans="2:21" ht="15" x14ac:dyDescent="0.25">
      <c r="B142" s="191" t="s">
        <v>23</v>
      </c>
      <c r="C142" s="191" t="s">
        <v>235</v>
      </c>
      <c r="D142" s="248"/>
      <c r="E142" s="99" t="str">
        <f t="shared" si="84"/>
        <v>Rimborso</v>
      </c>
      <c r="F142" s="100">
        <f>-IF(F79&gt;0,F79,0)</f>
        <v>0</v>
      </c>
      <c r="G142" s="100">
        <f>-IF(G79&gt;0,G79,0)</f>
        <v>0</v>
      </c>
      <c r="H142" s="100">
        <f>-IF(H79&gt;0,H79,0)</f>
        <v>-153520.785</v>
      </c>
      <c r="I142" s="100">
        <f t="shared" ref="I142:R142" si="89">-IF(I79&gt;0,I79,0)</f>
        <v>-154288.38892499998</v>
      </c>
      <c r="J142" s="100">
        <f t="shared" si="89"/>
        <v>-1444128.8307902501</v>
      </c>
      <c r="K142" s="100">
        <f t="shared" si="89"/>
        <v>-135804.47494420121</v>
      </c>
      <c r="L142" s="100">
        <f t="shared" si="89"/>
        <v>-2073036.5348491361</v>
      </c>
      <c r="M142" s="100">
        <f t="shared" si="89"/>
        <v>-908186.8081336841</v>
      </c>
      <c r="N142" s="100">
        <f t="shared" si="89"/>
        <v>-3558277.1773577277</v>
      </c>
      <c r="O142" s="100">
        <f t="shared" si="89"/>
        <v>0</v>
      </c>
      <c r="P142" s="100">
        <f t="shared" si="89"/>
        <v>0</v>
      </c>
      <c r="Q142" s="100">
        <f t="shared" si="89"/>
        <v>0</v>
      </c>
      <c r="R142" s="162">
        <f t="shared" si="89"/>
        <v>0</v>
      </c>
      <c r="S142" s="115">
        <f t="shared" si="86"/>
        <v>-8427243</v>
      </c>
    </row>
    <row r="143" spans="2:21" ht="15" x14ac:dyDescent="0.25">
      <c r="B143" s="192" t="s">
        <v>163</v>
      </c>
      <c r="C143" s="191" t="s">
        <v>374</v>
      </c>
      <c r="D143" s="248"/>
      <c r="E143" s="114" t="str">
        <f t="shared" si="84"/>
        <v>Finanziamento Finale</v>
      </c>
      <c r="F143" s="115">
        <f t="shared" ref="F143:R143" si="90">F138+F139+F142</f>
        <v>0</v>
      </c>
      <c r="G143" s="115">
        <f t="shared" si="90"/>
        <v>8427243</v>
      </c>
      <c r="H143" s="115">
        <f t="shared" si="90"/>
        <v>8273722.2149999999</v>
      </c>
      <c r="I143" s="115">
        <f t="shared" si="90"/>
        <v>8119433.8260749998</v>
      </c>
      <c r="J143" s="115">
        <f t="shared" si="90"/>
        <v>6675304.9952847492</v>
      </c>
      <c r="K143" s="115">
        <f t="shared" si="90"/>
        <v>6539500.5203405479</v>
      </c>
      <c r="L143" s="115">
        <f t="shared" si="90"/>
        <v>4466463.9854914118</v>
      </c>
      <c r="M143" s="115">
        <f t="shared" si="90"/>
        <v>3558277.1773577277</v>
      </c>
      <c r="N143" s="115">
        <f t="shared" si="90"/>
        <v>0</v>
      </c>
      <c r="O143" s="115">
        <f t="shared" si="90"/>
        <v>0</v>
      </c>
      <c r="P143" s="115">
        <f t="shared" si="90"/>
        <v>0</v>
      </c>
      <c r="Q143" s="115">
        <f t="shared" si="90"/>
        <v>0</v>
      </c>
      <c r="R143" s="159">
        <f t="shared" si="90"/>
        <v>0</v>
      </c>
      <c r="S143" s="115">
        <f t="shared" si="86"/>
        <v>46059945.719549432</v>
      </c>
    </row>
    <row r="144" spans="2:21" ht="15" x14ac:dyDescent="0.25">
      <c r="B144" s="201" t="s">
        <v>24</v>
      </c>
      <c r="C144" s="192" t="s">
        <v>236</v>
      </c>
      <c r="D144" s="248"/>
      <c r="E144" s="125" t="str">
        <f t="shared" si="84"/>
        <v>Interessi</v>
      </c>
      <c r="F144" s="126"/>
      <c r="G144" s="126">
        <f t="shared" ref="G144:R144" si="91">-$I$28*G138</f>
        <v>0</v>
      </c>
      <c r="H144" s="126">
        <f t="shared" si="91"/>
        <v>-94806.483749999999</v>
      </c>
      <c r="I144" s="126">
        <f t="shared" si="91"/>
        <v>-93079.374918749993</v>
      </c>
      <c r="J144" s="126">
        <f t="shared" si="91"/>
        <v>-91343.630543343737</v>
      </c>
      <c r="K144" s="126">
        <f t="shared" si="91"/>
        <v>-75097.181196953432</v>
      </c>
      <c r="L144" s="126">
        <f t="shared" si="91"/>
        <v>-73569.380853831157</v>
      </c>
      <c r="M144" s="126">
        <f t="shared" si="91"/>
        <v>-50247.719836778379</v>
      </c>
      <c r="N144" s="126">
        <f t="shared" si="91"/>
        <v>-40030.618245274432</v>
      </c>
      <c r="O144" s="126">
        <f t="shared" si="91"/>
        <v>0</v>
      </c>
      <c r="P144" s="126">
        <f t="shared" si="91"/>
        <v>0</v>
      </c>
      <c r="Q144" s="126">
        <f t="shared" si="91"/>
        <v>0</v>
      </c>
      <c r="R144" s="163">
        <f t="shared" si="91"/>
        <v>0</v>
      </c>
      <c r="S144" s="130">
        <f t="shared" si="86"/>
        <v>-518174.38934493111</v>
      </c>
    </row>
    <row r="145" spans="2:21" ht="15.75" thickBot="1" x14ac:dyDescent="0.3">
      <c r="B145" s="196" t="s">
        <v>390</v>
      </c>
      <c r="C145" s="197" t="s">
        <v>307</v>
      </c>
      <c r="D145" s="248"/>
      <c r="E145" s="102" t="str">
        <f t="shared" si="84"/>
        <v>Flusso Linea B IVA</v>
      </c>
      <c r="F145" s="103">
        <f>F139+F140+F142+F144</f>
        <v>0</v>
      </c>
      <c r="G145" s="103">
        <f>G139+G140+G142+G144+G141</f>
        <v>8305047.9764999999</v>
      </c>
      <c r="H145" s="103">
        <f t="shared" ref="H145:R145" si="92">H139+H140+H142+H144</f>
        <v>-248327.26874999999</v>
      </c>
      <c r="I145" s="103">
        <f t="shared" si="92"/>
        <v>-247367.76384374997</v>
      </c>
      <c r="J145" s="103">
        <f t="shared" si="92"/>
        <v>-1535472.4613335938</v>
      </c>
      <c r="K145" s="103">
        <f t="shared" si="92"/>
        <v>-210901.65614115464</v>
      </c>
      <c r="L145" s="103">
        <f t="shared" si="92"/>
        <v>-2146605.9157029674</v>
      </c>
      <c r="M145" s="103">
        <f t="shared" si="92"/>
        <v>-958434.52797046246</v>
      </c>
      <c r="N145" s="103">
        <f t="shared" si="92"/>
        <v>-3598307.795603002</v>
      </c>
      <c r="O145" s="103">
        <f t="shared" si="92"/>
        <v>0</v>
      </c>
      <c r="P145" s="103">
        <f t="shared" si="92"/>
        <v>0</v>
      </c>
      <c r="Q145" s="103">
        <f t="shared" si="92"/>
        <v>0</v>
      </c>
      <c r="R145" s="164">
        <f t="shared" si="92"/>
        <v>0</v>
      </c>
      <c r="S145" s="115">
        <f t="shared" si="86"/>
        <v>-640369.41284493031</v>
      </c>
    </row>
    <row r="146" spans="2:21" ht="15.75" thickTop="1" x14ac:dyDescent="0.25">
      <c r="B146" s="102"/>
      <c r="C146" s="102"/>
      <c r="E146" s="102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  <c r="Q146" s="103"/>
      <c r="R146" s="103"/>
      <c r="S146" s="115"/>
    </row>
    <row r="147" spans="2:21" ht="15.75" thickBot="1" x14ac:dyDescent="0.3">
      <c r="B147" s="217" t="s">
        <v>136</v>
      </c>
      <c r="C147" s="217" t="s">
        <v>308</v>
      </c>
      <c r="D147" s="248" t="s">
        <v>251</v>
      </c>
      <c r="E147" s="146" t="str">
        <f t="shared" ref="E147:E152" si="93">IF($A$1=1,B147,C147)</f>
        <v xml:space="preserve">SINTESI FLUSSI </v>
      </c>
      <c r="F147" s="204">
        <v>0</v>
      </c>
      <c r="G147" s="204">
        <v>1</v>
      </c>
      <c r="H147" s="204">
        <v>2</v>
      </c>
      <c r="I147" s="204">
        <v>3</v>
      </c>
      <c r="J147" s="204">
        <v>4</v>
      </c>
      <c r="K147" s="204">
        <v>5</v>
      </c>
      <c r="L147" s="204">
        <v>6</v>
      </c>
      <c r="M147" s="204">
        <v>7</v>
      </c>
      <c r="N147" s="204">
        <v>8</v>
      </c>
      <c r="O147" s="204">
        <v>9</v>
      </c>
      <c r="P147" s="204">
        <v>10</v>
      </c>
      <c r="Q147" s="204">
        <v>11</v>
      </c>
      <c r="R147" s="226">
        <v>12</v>
      </c>
      <c r="S147" s="204" t="s">
        <v>395</v>
      </c>
      <c r="T147" s="204" t="s">
        <v>369</v>
      </c>
      <c r="U147" s="204" t="s">
        <v>370</v>
      </c>
    </row>
    <row r="148" spans="2:21" ht="15.75" thickTop="1" x14ac:dyDescent="0.25">
      <c r="B148" s="99" t="str">
        <f t="shared" ref="B148:C148" si="94">B67</f>
        <v>Flusso Immobiliare</v>
      </c>
      <c r="C148" s="99" t="str">
        <f t="shared" si="94"/>
        <v>Real Estate CF</v>
      </c>
      <c r="D148" s="248"/>
      <c r="E148" s="99" t="str">
        <f t="shared" si="93"/>
        <v>Flusso Immobiliare</v>
      </c>
      <c r="F148" s="100">
        <f>F67</f>
        <v>-7800000</v>
      </c>
      <c r="G148" s="100">
        <f t="shared" ref="G148:R148" si="95">G67</f>
        <v>-30505650</v>
      </c>
      <c r="H148" s="100">
        <f t="shared" si="95"/>
        <v>697821.75</v>
      </c>
      <c r="I148" s="100">
        <f t="shared" si="95"/>
        <v>701310.8587499999</v>
      </c>
      <c r="J148" s="100">
        <f t="shared" si="95"/>
        <v>6564221.9581375001</v>
      </c>
      <c r="K148" s="100">
        <f t="shared" si="95"/>
        <v>617293.06792818732</v>
      </c>
      <c r="L148" s="100">
        <f t="shared" si="95"/>
        <v>9422893.3402233459</v>
      </c>
      <c r="M148" s="100">
        <f t="shared" si="95"/>
        <v>4128121.8551531094</v>
      </c>
      <c r="N148" s="100">
        <f t="shared" si="95"/>
        <v>17953776.1154457</v>
      </c>
      <c r="O148" s="100">
        <f t="shared" si="95"/>
        <v>154544.99602292743</v>
      </c>
      <c r="P148" s="100">
        <f t="shared" si="95"/>
        <v>9900000</v>
      </c>
      <c r="Q148" s="100">
        <f t="shared" si="95"/>
        <v>0</v>
      </c>
      <c r="R148" s="162">
        <f t="shared" si="95"/>
        <v>0</v>
      </c>
      <c r="S148" s="115">
        <f>SUM(F148:R148)</f>
        <v>11834333.941660771</v>
      </c>
      <c r="T148" s="141">
        <f>IRR(F148:R148)</f>
        <v>4.3342335812946553E-2</v>
      </c>
      <c r="U148" s="141">
        <f>(1+T148)^4-1</f>
        <v>0.18496990505405742</v>
      </c>
    </row>
    <row r="149" spans="2:21" ht="15" x14ac:dyDescent="0.25">
      <c r="B149" s="99" t="str">
        <f t="shared" ref="B149:C149" si="96">B80</f>
        <v>Flusso Operativo con IVA</v>
      </c>
      <c r="C149" s="99" t="str">
        <f t="shared" si="96"/>
        <v>Operating CF (VAT)</v>
      </c>
      <c r="D149" s="248"/>
      <c r="E149" s="99" t="str">
        <f t="shared" si="93"/>
        <v>Flusso Operativo con IVA</v>
      </c>
      <c r="F149" s="100">
        <f>F80</f>
        <v>-7800000</v>
      </c>
      <c r="G149" s="100">
        <f t="shared" ref="G149:R149" si="97">G80</f>
        <v>-38932893</v>
      </c>
      <c r="H149" s="100">
        <f t="shared" si="97"/>
        <v>851342.53500000003</v>
      </c>
      <c r="I149" s="100">
        <f t="shared" si="97"/>
        <v>855599.24767499988</v>
      </c>
      <c r="J149" s="100">
        <f t="shared" si="97"/>
        <v>8008350.7889277507</v>
      </c>
      <c r="K149" s="100">
        <f t="shared" si="97"/>
        <v>753097.5428723885</v>
      </c>
      <c r="L149" s="100">
        <f t="shared" si="97"/>
        <v>11495929.875072483</v>
      </c>
      <c r="M149" s="100">
        <f t="shared" si="97"/>
        <v>5036308.663286794</v>
      </c>
      <c r="N149" s="100">
        <f t="shared" si="97"/>
        <v>21512053.292803429</v>
      </c>
      <c r="O149" s="100">
        <f t="shared" si="97"/>
        <v>154544.99602292743</v>
      </c>
      <c r="P149" s="100">
        <f t="shared" si="97"/>
        <v>9900000</v>
      </c>
      <c r="Q149" s="100">
        <f t="shared" si="97"/>
        <v>0</v>
      </c>
      <c r="R149" s="162">
        <f t="shared" si="97"/>
        <v>0</v>
      </c>
      <c r="S149" s="115">
        <f>SUM(F149:R149)</f>
        <v>11834333.941660771</v>
      </c>
      <c r="T149" s="141">
        <f>IRR(F149:R149)</f>
        <v>3.6998399840608931E-2</v>
      </c>
      <c r="U149" s="141">
        <f>(1+T149)^4-1</f>
        <v>0.15641134845755689</v>
      </c>
    </row>
    <row r="150" spans="2:21" s="102" customFormat="1" ht="15" x14ac:dyDescent="0.25">
      <c r="B150" s="191" t="s">
        <v>391</v>
      </c>
      <c r="C150" s="99" t="str">
        <f>C135</f>
        <v>Acquisition Line CF</v>
      </c>
      <c r="D150" s="248"/>
      <c r="E150" s="99" t="str">
        <f t="shared" si="93"/>
        <v>Flusso Linea A - Acquisizione</v>
      </c>
      <c r="F150" s="100">
        <f t="shared" ref="F150:R150" si="98">F135</f>
        <v>0</v>
      </c>
      <c r="G150" s="100">
        <f t="shared" si="98"/>
        <v>29182500</v>
      </c>
      <c r="H150" s="100">
        <f t="shared" si="98"/>
        <v>-382500</v>
      </c>
      <c r="I150" s="100">
        <f t="shared" si="98"/>
        <v>-382500</v>
      </c>
      <c r="J150" s="100">
        <f t="shared" si="98"/>
        <v>-4946223.2663642252</v>
      </c>
      <c r="K150" s="100">
        <f t="shared" si="98"/>
        <v>-318873.94685677253</v>
      </c>
      <c r="L150" s="100">
        <f t="shared" si="98"/>
        <v>-7177939.0797148412</v>
      </c>
      <c r="M150" s="100">
        <f t="shared" si="98"/>
        <v>-3066791.9637070638</v>
      </c>
      <c r="N150" s="100">
        <f t="shared" si="98"/>
        <v>-13869779.650032403</v>
      </c>
      <c r="O150" s="100">
        <f t="shared" si="98"/>
        <v>-26616.979909267688</v>
      </c>
      <c r="P150" s="100">
        <f t="shared" si="98"/>
        <v>-1699287.1030460149</v>
      </c>
      <c r="Q150" s="100">
        <f t="shared" si="98"/>
        <v>-2.0954757928848266E-11</v>
      </c>
      <c r="R150" s="162">
        <f t="shared" si="98"/>
        <v>-2.0954757928848266E-11</v>
      </c>
      <c r="S150" s="115">
        <f>SUM(F150:R150)</f>
        <v>-2688011.9896305897</v>
      </c>
      <c r="T150" s="141">
        <f>IRR(F150:R150)</f>
        <v>1.5429067716228761E-2</v>
      </c>
      <c r="U150" s="141">
        <f>(1+T150)^4-1</f>
        <v>6.3159356255824806E-2</v>
      </c>
    </row>
    <row r="151" spans="2:21" ht="15" x14ac:dyDescent="0.25">
      <c r="B151" s="215" t="s">
        <v>392</v>
      </c>
      <c r="C151" s="144" t="str">
        <f>C145</f>
        <v>VAT Line CF</v>
      </c>
      <c r="D151" s="248"/>
      <c r="E151" s="144" t="str">
        <f t="shared" si="93"/>
        <v>Flusso Linea B - IVA</v>
      </c>
      <c r="F151" s="126">
        <f t="shared" ref="F151:R151" si="99">F145</f>
        <v>0</v>
      </c>
      <c r="G151" s="126">
        <f t="shared" si="99"/>
        <v>8305047.9764999999</v>
      </c>
      <c r="H151" s="126">
        <f t="shared" si="99"/>
        <v>-248327.26874999999</v>
      </c>
      <c r="I151" s="126">
        <f t="shared" si="99"/>
        <v>-247367.76384374997</v>
      </c>
      <c r="J151" s="126">
        <f t="shared" si="99"/>
        <v>-1535472.4613335938</v>
      </c>
      <c r="K151" s="126">
        <f t="shared" si="99"/>
        <v>-210901.65614115464</v>
      </c>
      <c r="L151" s="126">
        <f t="shared" si="99"/>
        <v>-2146605.9157029674</v>
      </c>
      <c r="M151" s="126">
        <f t="shared" si="99"/>
        <v>-958434.52797046246</v>
      </c>
      <c r="N151" s="126">
        <f t="shared" si="99"/>
        <v>-3598307.795603002</v>
      </c>
      <c r="O151" s="126">
        <f t="shared" si="99"/>
        <v>0</v>
      </c>
      <c r="P151" s="126">
        <f t="shared" si="99"/>
        <v>0</v>
      </c>
      <c r="Q151" s="126">
        <f t="shared" si="99"/>
        <v>0</v>
      </c>
      <c r="R151" s="163">
        <f t="shared" si="99"/>
        <v>0</v>
      </c>
      <c r="S151" s="130">
        <f>SUM(F151:R151)</f>
        <v>-640369.41284493031</v>
      </c>
      <c r="T151" s="178">
        <f>IRR(F151:R151)</f>
        <v>1.403397489472491E-2</v>
      </c>
      <c r="U151" s="178">
        <f>(1+T151)^4-1</f>
        <v>5.7328709180273218E-2</v>
      </c>
    </row>
    <row r="152" spans="2:21" ht="15" x14ac:dyDescent="0.25">
      <c r="B152" s="196" t="s">
        <v>393</v>
      </c>
      <c r="C152" s="196" t="s">
        <v>242</v>
      </c>
      <c r="D152" s="248"/>
      <c r="E152" s="102" t="str">
        <f t="shared" si="93"/>
        <v>Flusso Levered</v>
      </c>
      <c r="F152" s="103">
        <f t="shared" ref="F152:R152" si="100">F149+F150+F151</f>
        <v>-7800000</v>
      </c>
      <c r="G152" s="103">
        <f t="shared" si="100"/>
        <v>-1445345.0235000001</v>
      </c>
      <c r="H152" s="103">
        <f t="shared" si="100"/>
        <v>220515.26625000004</v>
      </c>
      <c r="I152" s="103">
        <f t="shared" si="100"/>
        <v>225731.48383124991</v>
      </c>
      <c r="J152" s="103">
        <f t="shared" si="100"/>
        <v>1526655.0612299317</v>
      </c>
      <c r="K152" s="103">
        <f t="shared" si="100"/>
        <v>223321.93987446133</v>
      </c>
      <c r="L152" s="103">
        <f t="shared" si="100"/>
        <v>2171384.8796546743</v>
      </c>
      <c r="M152" s="103">
        <f t="shared" si="100"/>
        <v>1011082.1716092677</v>
      </c>
      <c r="N152" s="103">
        <f t="shared" si="100"/>
        <v>4043965.8471680242</v>
      </c>
      <c r="O152" s="103">
        <f t="shared" si="100"/>
        <v>127928.01611365975</v>
      </c>
      <c r="P152" s="103">
        <f t="shared" si="100"/>
        <v>8200712.8969539851</v>
      </c>
      <c r="Q152" s="103">
        <f t="shared" si="100"/>
        <v>-2.0954757928848266E-11</v>
      </c>
      <c r="R152" s="164">
        <f t="shared" si="100"/>
        <v>-2.0954757928848266E-11</v>
      </c>
      <c r="S152" s="115">
        <f>SUM(F152:R152)</f>
        <v>8505952.539185252</v>
      </c>
      <c r="T152" s="141">
        <f>IRR(F152:R152)</f>
        <v>8.7780902211859635E-2</v>
      </c>
      <c r="U152" s="106">
        <f>(1+T152)^4-1</f>
        <v>0.40012148246365542</v>
      </c>
    </row>
    <row r="153" spans="2:21" ht="15" x14ac:dyDescent="0.25">
      <c r="F153" s="121"/>
      <c r="G153" s="121"/>
      <c r="H153" s="121"/>
      <c r="I153" s="121"/>
      <c r="J153" s="121"/>
      <c r="K153" s="121"/>
    </row>
    <row r="154" spans="2:21" ht="15" x14ac:dyDescent="0.25">
      <c r="F154" s="122"/>
      <c r="G154" s="118"/>
      <c r="H154" s="118"/>
      <c r="I154" s="118"/>
      <c r="J154" s="118"/>
      <c r="K154" s="118"/>
    </row>
  </sheetData>
  <mergeCells count="9">
    <mergeCell ref="D91:D119"/>
    <mergeCell ref="D121:D145"/>
    <mergeCell ref="D147:D152"/>
    <mergeCell ref="D5:D12"/>
    <mergeCell ref="D40:D52"/>
    <mergeCell ref="D54:D80"/>
    <mergeCell ref="D14:D22"/>
    <mergeCell ref="D83:D89"/>
    <mergeCell ref="D24:D38"/>
  </mergeCells>
  <phoneticPr fontId="19" type="noConversion"/>
  <conditionalFormatting sqref="F42:R46">
    <cfRule type="cellIs" dxfId="21" priority="6" operator="equal">
      <formula>0</formula>
    </cfRule>
  </conditionalFormatting>
  <conditionalFormatting sqref="F47:R152">
    <cfRule type="cellIs" dxfId="20" priority="5" operator="equal">
      <formula>0</formula>
    </cfRule>
  </conditionalFormatting>
  <conditionalFormatting sqref="G127:R127 G131:R131">
    <cfRule type="cellIs" dxfId="19" priority="4" operator="equal">
      <formula>"no"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26</vt:i4>
      </vt:variant>
      <vt:variant>
        <vt:lpstr>Intervalli denominati</vt:lpstr>
      </vt:variant>
      <vt:variant>
        <vt:i4>3</vt:i4>
      </vt:variant>
    </vt:vector>
  </HeadingPairs>
  <TitlesOfParts>
    <vt:vector size="29" baseType="lpstr">
      <vt:lpstr>leggimi</vt:lpstr>
      <vt:lpstr>ts1 reddito</vt:lpstr>
      <vt:lpstr>1.1</vt:lpstr>
      <vt:lpstr>1.2</vt:lpstr>
      <vt:lpstr>1.3</vt:lpstr>
      <vt:lpstr>1.4</vt:lpstr>
      <vt:lpstr>1.5</vt:lpstr>
      <vt:lpstr>1.6</vt:lpstr>
      <vt:lpstr>ts2 frazionamento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ts3 sviluppo</vt:lpstr>
      <vt:lpstr>3.1</vt:lpstr>
      <vt:lpstr>3.2</vt:lpstr>
      <vt:lpstr>3.3</vt:lpstr>
      <vt:lpstr>3.4</vt:lpstr>
      <vt:lpstr>3.5</vt:lpstr>
      <vt:lpstr>3.6</vt:lpstr>
      <vt:lpstr>'ts1 reddito'!Area_stampa</vt:lpstr>
      <vt:lpstr>'ts2 frazionamento'!Area_stampa</vt:lpstr>
      <vt:lpstr>'ts3 sviluppo'!Area_stampa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2024-10-08T12:46:24Z</dcterms:modified>
</cp:coreProperties>
</file>